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autoCompressPictures="0"/>
  <mc:AlternateContent xmlns:mc="http://schemas.openxmlformats.org/markup-compatibility/2006">
    <mc:Choice Requires="x15">
      <x15ac:absPath xmlns:x15ac="http://schemas.microsoft.com/office/spreadsheetml/2010/11/ac" url="\\malibu\Users\Departments\VantageDocs\Sales\RFMW\2022\"/>
    </mc:Choice>
  </mc:AlternateContent>
  <xr:revisionPtr revIDLastSave="0" documentId="8_{3BF3B52F-1999-4C60-9728-7D0EF9BC3789}"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3960" yWindow="2205" windowWidth="21600" windowHeight="11385" tabRatio="789" firstSheet="1"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P3" i="4"/>
  <c r="C4" i="5"/>
  <c r="F69" i="6" s="1"/>
  <c r="C69" i="6" s="1"/>
  <c r="D4" i="5"/>
  <c r="E4" i="5"/>
  <c r="X10" i="5"/>
  <c r="X11" i="5"/>
  <c r="X12" i="5"/>
  <c r="X13" i="5"/>
  <c r="X17" i="5"/>
  <c r="X18" i="5"/>
  <c r="X19" i="5"/>
  <c r="X20" i="5"/>
  <c r="X21" i="5"/>
  <c r="X25" i="5"/>
  <c r="X26" i="5"/>
  <c r="X27" i="5"/>
  <c r="X28" i="5"/>
  <c r="X29" i="5"/>
  <c r="X33" i="5"/>
  <c r="X34" i="5"/>
  <c r="X35" i="5"/>
  <c r="X36" i="5"/>
  <c r="X37" i="5"/>
  <c r="X42" i="5"/>
  <c r="X43" i="5"/>
  <c r="X44" i="5"/>
  <c r="X45" i="5"/>
  <c r="X51" i="5"/>
  <c r="X52" i="5"/>
  <c r="X53" i="5"/>
  <c r="X57" i="5"/>
  <c r="X58" i="5"/>
  <c r="X59" i="5"/>
  <c r="X60" i="5"/>
  <c r="X61" i="5"/>
  <c r="X65" i="5"/>
  <c r="X66" i="5"/>
  <c r="X67" i="5"/>
  <c r="X68" i="5"/>
  <c r="X69" i="5"/>
  <c r="X74" i="5"/>
  <c r="X75" i="5"/>
  <c r="X76" i="5"/>
  <c r="X77" i="5"/>
  <c r="X82" i="5"/>
  <c r="X83" i="5"/>
  <c r="X84" i="5"/>
  <c r="X85" i="5"/>
  <c r="X90" i="5"/>
  <c r="X91" i="5"/>
  <c r="X92" i="5"/>
  <c r="X93" i="5"/>
  <c r="X98" i="5"/>
  <c r="X99" i="5"/>
  <c r="X100" i="5"/>
  <c r="X101" i="5"/>
  <c r="X105" i="5"/>
  <c r="X106" i="5"/>
  <c r="X107" i="5"/>
  <c r="X108" i="5"/>
  <c r="X109" i="5"/>
  <c r="X113" i="5"/>
  <c r="X114" i="5"/>
  <c r="X115" i="5"/>
  <c r="X116" i="5"/>
  <c r="X117" i="5"/>
  <c r="X122" i="5"/>
  <c r="X123" i="5"/>
  <c r="X124" i="5"/>
  <c r="X125" i="5"/>
  <c r="X129" i="5"/>
  <c r="X130" i="5"/>
  <c r="X131" i="5"/>
  <c r="X132" i="5"/>
  <c r="X133" i="5"/>
  <c r="X137" i="5"/>
  <c r="X138" i="5"/>
  <c r="X139" i="5"/>
  <c r="X140" i="5"/>
  <c r="X141" i="5"/>
  <c r="X145" i="5"/>
  <c r="X147" i="5"/>
  <c r="X148" i="5"/>
  <c r="X149" i="5"/>
  <c r="X153" i="5"/>
  <c r="X154" i="5"/>
  <c r="X155" i="5"/>
  <c r="X156" i="5"/>
  <c r="X157" i="5"/>
  <c r="X161" i="5"/>
  <c r="X163" i="5"/>
  <c r="X164" i="5"/>
  <c r="X165" i="5"/>
  <c r="X170" i="5"/>
  <c r="X171" i="5"/>
  <c r="X172" i="5"/>
  <c r="X173" i="5"/>
  <c r="X178" i="5"/>
  <c r="X179" i="5"/>
  <c r="X180" i="5"/>
  <c r="X181" i="5"/>
  <c r="X186" i="5"/>
  <c r="X187" i="5"/>
  <c r="X188" i="5"/>
  <c r="X189" i="5"/>
  <c r="X194" i="5"/>
  <c r="X195" i="5"/>
  <c r="X196" i="5"/>
  <c r="X197" i="5"/>
  <c r="X201" i="5"/>
  <c r="X202" i="5"/>
  <c r="X203" i="5"/>
  <c r="X204" i="5"/>
  <c r="X205" i="5"/>
  <c r="X210" i="5"/>
  <c r="X211" i="5"/>
  <c r="X212" i="5"/>
  <c r="X213" i="5"/>
  <c r="X219" i="5"/>
  <c r="X220" i="5"/>
  <c r="X221" i="5"/>
  <c r="X225" i="5"/>
  <c r="X226" i="5"/>
  <c r="X227" i="5"/>
  <c r="X228" i="5"/>
  <c r="X229" i="5"/>
  <c r="X233" i="5"/>
  <c r="X234" i="5"/>
  <c r="X235" i="5"/>
  <c r="X236" i="5"/>
  <c r="X237" i="5"/>
  <c r="X242" i="5"/>
  <c r="X243" i="5"/>
  <c r="X244" i="5"/>
  <c r="X245" i="5"/>
  <c r="X250" i="5"/>
  <c r="X251" i="5"/>
  <c r="X252" i="5"/>
  <c r="X253" i="5"/>
  <c r="X257" i="5"/>
  <c r="X258" i="5"/>
  <c r="X259" i="5"/>
  <c r="X260" i="5"/>
  <c r="X261" i="5"/>
  <c r="X266" i="5"/>
  <c r="X267" i="5"/>
  <c r="X268" i="5"/>
  <c r="X269" i="5"/>
  <c r="X273" i="5"/>
  <c r="X274" i="5"/>
  <c r="X275" i="5"/>
  <c r="X276" i="5"/>
  <c r="X277" i="5"/>
  <c r="X282" i="5"/>
  <c r="X283" i="5"/>
  <c r="X284" i="5"/>
  <c r="X285" i="5"/>
  <c r="X289" i="5"/>
  <c r="X290" i="5"/>
  <c r="X291" i="5"/>
  <c r="X292" i="5"/>
  <c r="X293" i="5"/>
  <c r="X297" i="5"/>
  <c r="X298" i="5"/>
  <c r="X299" i="5"/>
  <c r="X300" i="5"/>
  <c r="X301" i="5"/>
  <c r="X307" i="5"/>
  <c r="X308" i="5"/>
  <c r="X309" i="5"/>
  <c r="X315" i="5"/>
  <c r="X316" i="5"/>
  <c r="X317" i="5"/>
  <c r="X321" i="5"/>
  <c r="X322" i="5"/>
  <c r="X323" i="5"/>
  <c r="X324" i="5"/>
  <c r="X325" i="5"/>
  <c r="X330" i="5"/>
  <c r="X331" i="5"/>
  <c r="X332" i="5"/>
  <c r="X333" i="5"/>
  <c r="X337" i="5"/>
  <c r="X338" i="5"/>
  <c r="X339" i="5"/>
  <c r="X340" i="5"/>
  <c r="X341" i="5"/>
  <c r="X345" i="5"/>
  <c r="X346" i="5"/>
  <c r="X347" i="5"/>
  <c r="X348" i="5"/>
  <c r="X349" i="5"/>
  <c r="X354" i="5"/>
  <c r="X355" i="5"/>
  <c r="X356" i="5"/>
  <c r="X357" i="5"/>
  <c r="X362" i="5"/>
  <c r="X363" i="5"/>
  <c r="X364" i="5"/>
  <c r="X365" i="5"/>
  <c r="E369" i="5"/>
  <c r="E370" i="5"/>
  <c r="E371" i="5"/>
  <c r="X371" i="5" s="1"/>
  <c r="E372" i="5"/>
  <c r="X372" i="5" s="1"/>
  <c r="E373" i="5"/>
  <c r="X373" i="5" s="1"/>
  <c r="E374" i="5"/>
  <c r="E375" i="5"/>
  <c r="X375" i="5" s="1"/>
  <c r="E376" i="5"/>
  <c r="E377" i="5"/>
  <c r="X377" i="5" s="1"/>
  <c r="E378" i="5"/>
  <c r="E379" i="5"/>
  <c r="X379" i="5" s="1"/>
  <c r="E380" i="5"/>
  <c r="X380" i="5" s="1"/>
  <c r="E381" i="5"/>
  <c r="X381" i="5" s="1"/>
  <c r="E382" i="5"/>
  <c r="E383" i="5"/>
  <c r="X383" i="5" s="1"/>
  <c r="E384" i="5"/>
  <c r="E385" i="5"/>
  <c r="E386" i="5"/>
  <c r="E387" i="5"/>
  <c r="X387" i="5" s="1"/>
  <c r="E388" i="5"/>
  <c r="X388" i="5" s="1"/>
  <c r="E389" i="5"/>
  <c r="X389" i="5" s="1"/>
  <c r="E390" i="5"/>
  <c r="E391" i="5"/>
  <c r="E392" i="5"/>
  <c r="E393" i="5"/>
  <c r="X393" i="5" s="1"/>
  <c r="E394" i="5"/>
  <c r="X394" i="5" s="1"/>
  <c r="E395" i="5"/>
  <c r="X395" i="5" s="1"/>
  <c r="E396" i="5"/>
  <c r="X396" i="5" s="1"/>
  <c r="E397" i="5"/>
  <c r="X397" i="5" s="1"/>
  <c r="E398" i="5"/>
  <c r="E399" i="5"/>
  <c r="X399" i="5" s="1"/>
  <c r="E400" i="5"/>
  <c r="E401" i="5"/>
  <c r="E402" i="5"/>
  <c r="X402" i="5" s="1"/>
  <c r="E403" i="5"/>
  <c r="X403" i="5" s="1"/>
  <c r="E404" i="5"/>
  <c r="X404" i="5" s="1"/>
  <c r="E405" i="5"/>
  <c r="X405" i="5" s="1"/>
  <c r="E406" i="5"/>
  <c r="X406" i="5" s="1"/>
  <c r="E407" i="5"/>
  <c r="X407" i="5" s="1"/>
  <c r="E408" i="5"/>
  <c r="E409" i="5"/>
  <c r="X409" i="5" s="1"/>
  <c r="E410" i="5"/>
  <c r="X410" i="5" s="1"/>
  <c r="E411" i="5"/>
  <c r="X411" i="5" s="1"/>
  <c r="E412" i="5"/>
  <c r="X412" i="5" s="1"/>
  <c r="E413" i="5"/>
  <c r="X413" i="5" s="1"/>
  <c r="E414" i="5"/>
  <c r="X414" i="5" s="1"/>
  <c r="E415" i="5"/>
  <c r="X415" i="5" s="1"/>
  <c r="E416" i="5"/>
  <c r="E417" i="5"/>
  <c r="X417" i="5" s="1"/>
  <c r="E418" i="5"/>
  <c r="X418" i="5" s="1"/>
  <c r="E419" i="5"/>
  <c r="X419" i="5" s="1"/>
  <c r="E420" i="5"/>
  <c r="X420" i="5" s="1"/>
  <c r="E421" i="5"/>
  <c r="X421" i="5" s="1"/>
  <c r="E422" i="5"/>
  <c r="X422" i="5" s="1"/>
  <c r="E423" i="5"/>
  <c r="X423" i="5" s="1"/>
  <c r="E424" i="5"/>
  <c r="E425" i="5"/>
  <c r="X425" i="5" s="1"/>
  <c r="E426" i="5"/>
  <c r="E427" i="5"/>
  <c r="X427" i="5" s="1"/>
  <c r="E428" i="5"/>
  <c r="X428" i="5" s="1"/>
  <c r="E429" i="5"/>
  <c r="X429" i="5" s="1"/>
  <c r="E430" i="5"/>
  <c r="E431" i="5"/>
  <c r="X431" i="5" s="1"/>
  <c r="E432" i="5"/>
  <c r="E433" i="5"/>
  <c r="X433" i="5" s="1"/>
  <c r="E434" i="5"/>
  <c r="X434" i="5" s="1"/>
  <c r="E435" i="5"/>
  <c r="X435" i="5" s="1"/>
  <c r="E436" i="5"/>
  <c r="X436" i="5" s="1"/>
  <c r="E437" i="5"/>
  <c r="X437" i="5" s="1"/>
  <c r="E438" i="5"/>
  <c r="E439" i="5"/>
  <c r="X439" i="5" s="1"/>
  <c r="E440" i="5"/>
  <c r="E441" i="5"/>
  <c r="X441" i="5" s="1"/>
  <c r="E442" i="5"/>
  <c r="E443" i="5"/>
  <c r="X443" i="5" s="1"/>
  <c r="E444" i="5"/>
  <c r="X444" i="5" s="1"/>
  <c r="E445" i="5"/>
  <c r="X445" i="5" s="1"/>
  <c r="E446" i="5"/>
  <c r="X446" i="5" s="1"/>
  <c r="E447" i="5"/>
  <c r="X447" i="5" s="1"/>
  <c r="E448" i="5"/>
  <c r="E449" i="5"/>
  <c r="E450" i="5"/>
  <c r="X450" i="5" s="1"/>
  <c r="E451" i="5"/>
  <c r="X451" i="5" s="1"/>
  <c r="E452" i="5"/>
  <c r="X452" i="5" s="1"/>
  <c r="E453" i="5"/>
  <c r="X453" i="5" s="1"/>
  <c r="E454" i="5"/>
  <c r="E455" i="5"/>
  <c r="X455" i="5" s="1"/>
  <c r="E456" i="5"/>
  <c r="E457" i="5"/>
  <c r="X457" i="5" s="1"/>
  <c r="E458" i="5"/>
  <c r="E459" i="5"/>
  <c r="X459" i="5" s="1"/>
  <c r="E460" i="5"/>
  <c r="X460" i="5" s="1"/>
  <c r="E461" i="5"/>
  <c r="X461" i="5" s="1"/>
  <c r="E462" i="5"/>
  <c r="E463" i="5"/>
  <c r="X463" i="5" s="1"/>
  <c r="E464" i="5"/>
  <c r="E465" i="5"/>
  <c r="X465" i="5" s="1"/>
  <c r="E466" i="5"/>
  <c r="X466" i="5" s="1"/>
  <c r="E467" i="5"/>
  <c r="X467" i="5" s="1"/>
  <c r="E468" i="5"/>
  <c r="X468" i="5" s="1"/>
  <c r="E469" i="5"/>
  <c r="X469" i="5" s="1"/>
  <c r="E470" i="5"/>
  <c r="X470" i="5" s="1"/>
  <c r="E471" i="5"/>
  <c r="X471" i="5" s="1"/>
  <c r="E472" i="5"/>
  <c r="E473" i="5"/>
  <c r="E474" i="5"/>
  <c r="E475" i="5"/>
  <c r="X475" i="5" s="1"/>
  <c r="E476" i="5"/>
  <c r="X476" i="5" s="1"/>
  <c r="E477" i="5"/>
  <c r="X477" i="5" s="1"/>
  <c r="E478" i="5"/>
  <c r="E479" i="5"/>
  <c r="X479" i="5" s="1"/>
  <c r="E480" i="5"/>
  <c r="E481" i="5"/>
  <c r="E482" i="5"/>
  <c r="E483" i="5"/>
  <c r="X483" i="5" s="1"/>
  <c r="E484" i="5"/>
  <c r="X484" i="5" s="1"/>
  <c r="E485" i="5"/>
  <c r="X485" i="5" s="1"/>
  <c r="E486" i="5"/>
  <c r="E487" i="5"/>
  <c r="X487" i="5" s="1"/>
  <c r="E488" i="5"/>
  <c r="E489" i="5"/>
  <c r="X489" i="5" s="1"/>
  <c r="E490" i="5"/>
  <c r="X490" i="5" s="1"/>
  <c r="E491" i="5"/>
  <c r="X491" i="5" s="1"/>
  <c r="E492" i="5"/>
  <c r="X492" i="5" s="1"/>
  <c r="E493" i="5"/>
  <c r="X493" i="5" s="1"/>
  <c r="E494" i="5"/>
  <c r="E495" i="5"/>
  <c r="X495" i="5" s="1"/>
  <c r="E496" i="5"/>
  <c r="E497" i="5"/>
  <c r="E498" i="5"/>
  <c r="X498" i="5" s="1"/>
  <c r="E499" i="5"/>
  <c r="X499" i="5" s="1"/>
  <c r="E500" i="5"/>
  <c r="X500" i="5" s="1"/>
  <c r="E501" i="5"/>
  <c r="X501" i="5" s="1"/>
  <c r="E502" i="5"/>
  <c r="E503" i="5"/>
  <c r="X503" i="5" s="1"/>
  <c r="E504" i="5"/>
  <c r="E505" i="5"/>
  <c r="E506" i="5"/>
  <c r="E507" i="5"/>
  <c r="X507" i="5" s="1"/>
  <c r="E508" i="5"/>
  <c r="X508" i="5" s="1"/>
  <c r="E509" i="5"/>
  <c r="X509" i="5" s="1"/>
  <c r="E510" i="5"/>
  <c r="X510" i="5" s="1"/>
  <c r="E511" i="5"/>
  <c r="X511" i="5" s="1"/>
  <c r="E512" i="5"/>
  <c r="E513" i="5"/>
  <c r="X513" i="5" s="1"/>
  <c r="E514" i="5"/>
  <c r="X514" i="5" s="1"/>
  <c r="E515" i="5"/>
  <c r="X515" i="5" s="1"/>
  <c r="E516" i="5"/>
  <c r="X516" i="5" s="1"/>
  <c r="E517" i="5"/>
  <c r="X517" i="5" s="1"/>
  <c r="E518" i="5"/>
  <c r="E519" i="5"/>
  <c r="X519" i="5" s="1"/>
  <c r="E520" i="5"/>
  <c r="E521" i="5"/>
  <c r="E522" i="5"/>
  <c r="X522" i="5" s="1"/>
  <c r="E523" i="5"/>
  <c r="X523" i="5" s="1"/>
  <c r="E524" i="5"/>
  <c r="X524" i="5" s="1"/>
  <c r="E525" i="5"/>
  <c r="X525" i="5" s="1"/>
  <c r="E526" i="5"/>
  <c r="E527" i="5"/>
  <c r="X527" i="5" s="1"/>
  <c r="E528" i="5"/>
  <c r="E529" i="5"/>
  <c r="E530" i="5"/>
  <c r="X530" i="5" s="1"/>
  <c r="E531" i="5"/>
  <c r="X531" i="5" s="1"/>
  <c r="E532" i="5"/>
  <c r="X532" i="5" s="1"/>
  <c r="E533" i="5"/>
  <c r="X533" i="5" s="1"/>
  <c r="E534" i="5"/>
  <c r="E535" i="5"/>
  <c r="X535" i="5" s="1"/>
  <c r="E536" i="5"/>
  <c r="E537" i="5"/>
  <c r="E538" i="5"/>
  <c r="E539" i="5"/>
  <c r="X539" i="5" s="1"/>
  <c r="E540" i="5"/>
  <c r="X540" i="5" s="1"/>
  <c r="E541" i="5"/>
  <c r="X541" i="5" s="1"/>
  <c r="E542" i="5"/>
  <c r="E543" i="5"/>
  <c r="X543" i="5" s="1"/>
  <c r="E544" i="5"/>
  <c r="E545" i="5"/>
  <c r="E546" i="5"/>
  <c r="E547" i="5"/>
  <c r="X547" i="5" s="1"/>
  <c r="E548" i="5"/>
  <c r="X548" i="5" s="1"/>
  <c r="E549" i="5"/>
  <c r="X549" i="5" s="1"/>
  <c r="E550" i="5"/>
  <c r="E551" i="5"/>
  <c r="X551" i="5" s="1"/>
  <c r="E552" i="5"/>
  <c r="E553" i="5"/>
  <c r="X553" i="5" s="1"/>
  <c r="E554" i="5"/>
  <c r="E555" i="5"/>
  <c r="X555" i="5" s="1"/>
  <c r="E556" i="5"/>
  <c r="X556" i="5" s="1"/>
  <c r="E557" i="5"/>
  <c r="X557" i="5" s="1"/>
  <c r="E558" i="5"/>
  <c r="E559" i="5"/>
  <c r="E560" i="5"/>
  <c r="E561" i="5"/>
  <c r="E562" i="5"/>
  <c r="X562" i="5" s="1"/>
  <c r="E563" i="5"/>
  <c r="X563" i="5" s="1"/>
  <c r="E564" i="5"/>
  <c r="X564" i="5" s="1"/>
  <c r="E565" i="5"/>
  <c r="X565" i="5" s="1"/>
  <c r="E566" i="5"/>
  <c r="X566" i="5" s="1"/>
  <c r="E567" i="5"/>
  <c r="X567" i="5" s="1"/>
  <c r="E568" i="5"/>
  <c r="E569" i="5"/>
  <c r="E570" i="5"/>
  <c r="X570" i="5" s="1"/>
  <c r="E571" i="5"/>
  <c r="X571" i="5" s="1"/>
  <c r="E572" i="5"/>
  <c r="X572" i="5" s="1"/>
  <c r="E573" i="5"/>
  <c r="X573" i="5" s="1"/>
  <c r="E574" i="5"/>
  <c r="E575" i="5"/>
  <c r="E576" i="5"/>
  <c r="E577" i="5"/>
  <c r="E578" i="5"/>
  <c r="X578" i="5" s="1"/>
  <c r="E579" i="5"/>
  <c r="X579" i="5" s="1"/>
  <c r="E580" i="5"/>
  <c r="X580" i="5" s="1"/>
  <c r="E581" i="5"/>
  <c r="X581" i="5" s="1"/>
  <c r="E582" i="5"/>
  <c r="E583" i="5"/>
  <c r="E584" i="5"/>
  <c r="E585" i="5"/>
  <c r="E586" i="5"/>
  <c r="X586" i="5" s="1"/>
  <c r="E587" i="5"/>
  <c r="X587" i="5" s="1"/>
  <c r="E588" i="5"/>
  <c r="X588" i="5" s="1"/>
  <c r="E589" i="5"/>
  <c r="X589" i="5" s="1"/>
  <c r="E590" i="5"/>
  <c r="X590" i="5" s="1"/>
  <c r="E591" i="5"/>
  <c r="E592" i="5"/>
  <c r="E593" i="5"/>
  <c r="E594" i="5"/>
  <c r="X594" i="5" s="1"/>
  <c r="E595" i="5"/>
  <c r="X595" i="5" s="1"/>
  <c r="E596" i="5"/>
  <c r="X596" i="5" s="1"/>
  <c r="E597" i="5"/>
  <c r="X597" i="5" s="1"/>
  <c r="E598" i="5"/>
  <c r="E599" i="5"/>
  <c r="X599" i="5" s="1"/>
  <c r="E600" i="5"/>
  <c r="E601" i="5"/>
  <c r="X601" i="5" s="1"/>
  <c r="E602" i="5"/>
  <c r="E603" i="5"/>
  <c r="X603" i="5" s="1"/>
  <c r="E604" i="5"/>
  <c r="X604" i="5" s="1"/>
  <c r="E605" i="5"/>
  <c r="X605" i="5" s="1"/>
  <c r="E606" i="5"/>
  <c r="X606" i="5" s="1"/>
  <c r="E607" i="5"/>
  <c r="E608" i="5"/>
  <c r="E609" i="5"/>
  <c r="X609" i="5" s="1"/>
  <c r="E610" i="5"/>
  <c r="X610" i="5" s="1"/>
  <c r="E611" i="5"/>
  <c r="X611" i="5" s="1"/>
  <c r="E612" i="5"/>
  <c r="X612" i="5" s="1"/>
  <c r="E613" i="5"/>
  <c r="X613" i="5" s="1"/>
  <c r="E614" i="5"/>
  <c r="E615" i="5"/>
  <c r="E616" i="5"/>
  <c r="E617" i="5"/>
  <c r="E618" i="5"/>
  <c r="X618" i="5" s="1"/>
  <c r="E619" i="5"/>
  <c r="X619" i="5" s="1"/>
  <c r="E620" i="5"/>
  <c r="X620" i="5" s="1"/>
  <c r="E621" i="5"/>
  <c r="X621" i="5" s="1"/>
  <c r="E622" i="5"/>
  <c r="X622" i="5" s="1"/>
  <c r="E623" i="5"/>
  <c r="X623" i="5" s="1"/>
  <c r="E624" i="5"/>
  <c r="E625" i="5"/>
  <c r="E626" i="5"/>
  <c r="X626" i="5" s="1"/>
  <c r="E627" i="5"/>
  <c r="X627" i="5" s="1"/>
  <c r="E628" i="5"/>
  <c r="X628" i="5" s="1"/>
  <c r="E629" i="5"/>
  <c r="X629" i="5" s="1"/>
  <c r="E630" i="5"/>
  <c r="E631" i="5"/>
  <c r="X631" i="5" s="1"/>
  <c r="E632" i="5"/>
  <c r="E633" i="5"/>
  <c r="E634" i="5"/>
  <c r="E635" i="5"/>
  <c r="X635" i="5" s="1"/>
  <c r="E636" i="5"/>
  <c r="X636" i="5" s="1"/>
  <c r="E637" i="5"/>
  <c r="X637" i="5" s="1"/>
  <c r="E638" i="5"/>
  <c r="X638" i="5" s="1"/>
  <c r="E639" i="5"/>
  <c r="E640" i="5"/>
  <c r="E641" i="5"/>
  <c r="E642" i="5"/>
  <c r="X642" i="5" s="1"/>
  <c r="E643" i="5"/>
  <c r="X643" i="5" s="1"/>
  <c r="E644" i="5"/>
  <c r="X644" i="5" s="1"/>
  <c r="E645" i="5"/>
  <c r="X645" i="5" s="1"/>
  <c r="E646" i="5"/>
  <c r="E647" i="5"/>
  <c r="X647" i="5" s="1"/>
  <c r="E648" i="5"/>
  <c r="E649" i="5"/>
  <c r="X649" i="5" s="1"/>
  <c r="E650" i="5"/>
  <c r="E651" i="5"/>
  <c r="X651" i="5" s="1"/>
  <c r="E652" i="5"/>
  <c r="X652" i="5" s="1"/>
  <c r="E653" i="5"/>
  <c r="X653" i="5" s="1"/>
  <c r="E654" i="5"/>
  <c r="X654" i="5" s="1"/>
  <c r="E655" i="5"/>
  <c r="E656" i="5"/>
  <c r="E657" i="5"/>
  <c r="E658" i="5"/>
  <c r="X658" i="5" s="1"/>
  <c r="E659" i="5"/>
  <c r="X659" i="5" s="1"/>
  <c r="E660" i="5"/>
  <c r="X660" i="5" s="1"/>
  <c r="E661" i="5"/>
  <c r="X661" i="5" s="1"/>
  <c r="E662" i="5"/>
  <c r="E663" i="5"/>
  <c r="X663" i="5" s="1"/>
  <c r="E664" i="5"/>
  <c r="E665" i="5"/>
  <c r="E666" i="5"/>
  <c r="X666" i="5" s="1"/>
  <c r="E667" i="5"/>
  <c r="X667" i="5" s="1"/>
  <c r="E668" i="5"/>
  <c r="X668" i="5" s="1"/>
  <c r="E669" i="5"/>
  <c r="X669" i="5" s="1"/>
  <c r="E670" i="5"/>
  <c r="E671" i="5"/>
  <c r="E672" i="5"/>
  <c r="E673" i="5"/>
  <c r="X673" i="5" s="1"/>
  <c r="E674" i="5"/>
  <c r="X674" i="5" s="1"/>
  <c r="E675" i="5"/>
  <c r="X675" i="5" s="1"/>
  <c r="E676" i="5"/>
  <c r="X676" i="5" s="1"/>
  <c r="E677" i="5"/>
  <c r="X677" i="5" s="1"/>
  <c r="E678" i="5"/>
  <c r="E679" i="5"/>
  <c r="X679" i="5" s="1"/>
  <c r="E680" i="5"/>
  <c r="E681" i="5"/>
  <c r="E682" i="5"/>
  <c r="X682" i="5" s="1"/>
  <c r="E683" i="5"/>
  <c r="X683" i="5" s="1"/>
  <c r="E684" i="5"/>
  <c r="X684" i="5" s="1"/>
  <c r="E685" i="5"/>
  <c r="X685" i="5" s="1"/>
  <c r="E686" i="5"/>
  <c r="E687" i="5"/>
  <c r="X687" i="5" s="1"/>
  <c r="E688" i="5"/>
  <c r="E689" i="5"/>
  <c r="E690" i="5"/>
  <c r="X690" i="5" s="1"/>
  <c r="E691" i="5"/>
  <c r="X691" i="5" s="1"/>
  <c r="E692" i="5"/>
  <c r="X692" i="5" s="1"/>
  <c r="E693" i="5"/>
  <c r="X693" i="5" s="1"/>
  <c r="E694" i="5"/>
  <c r="X694" i="5" s="1"/>
  <c r="E695" i="5"/>
  <c r="E696" i="5"/>
  <c r="E697" i="5"/>
  <c r="X697" i="5" s="1"/>
  <c r="E698" i="5"/>
  <c r="X698" i="5" s="1"/>
  <c r="E699" i="5"/>
  <c r="X699" i="5" s="1"/>
  <c r="E700" i="5"/>
  <c r="X700" i="5" s="1"/>
  <c r="E701" i="5"/>
  <c r="X701" i="5" s="1"/>
  <c r="E702" i="5"/>
  <c r="X702" i="5" s="1"/>
  <c r="E703" i="5"/>
  <c r="X703" i="5" s="1"/>
  <c r="E704" i="5"/>
  <c r="E705" i="5"/>
  <c r="X705" i="5" s="1"/>
  <c r="E706" i="5"/>
  <c r="X706" i="5" s="1"/>
  <c r="E707" i="5"/>
  <c r="X707" i="5" s="1"/>
  <c r="E708" i="5"/>
  <c r="X708" i="5" s="1"/>
  <c r="E709" i="5"/>
  <c r="X709" i="5" s="1"/>
  <c r="E710" i="5"/>
  <c r="E711" i="5"/>
  <c r="X711" i="5" s="1"/>
  <c r="E712" i="5"/>
  <c r="E713" i="5"/>
  <c r="X713" i="5" s="1"/>
  <c r="E714" i="5"/>
  <c r="X714" i="5" s="1"/>
  <c r="E715" i="5"/>
  <c r="X715" i="5" s="1"/>
  <c r="E716" i="5"/>
  <c r="X716" i="5" s="1"/>
  <c r="E717" i="5"/>
  <c r="X717" i="5" s="1"/>
  <c r="E718" i="5"/>
  <c r="E719" i="5"/>
  <c r="X719" i="5" s="1"/>
  <c r="E720" i="5"/>
  <c r="E721" i="5"/>
  <c r="X721" i="5" s="1"/>
  <c r="E722" i="5"/>
  <c r="X722" i="5" s="1"/>
  <c r="E723" i="5"/>
  <c r="X723" i="5" s="1"/>
  <c r="E724" i="5"/>
  <c r="X724" i="5" s="1"/>
  <c r="E725" i="5"/>
  <c r="X725" i="5" s="1"/>
  <c r="E726" i="5"/>
  <c r="E727" i="5"/>
  <c r="X727" i="5" s="1"/>
  <c r="E728" i="5"/>
  <c r="E729" i="5"/>
  <c r="X729" i="5" s="1"/>
  <c r="E730" i="5"/>
  <c r="X730" i="5" s="1"/>
  <c r="E731" i="5"/>
  <c r="X731" i="5" s="1"/>
  <c r="E732" i="5"/>
  <c r="X732" i="5" s="1"/>
  <c r="E733" i="5"/>
  <c r="X733" i="5" s="1"/>
  <c r="E734" i="5"/>
  <c r="E735" i="5"/>
  <c r="X735" i="5" s="1"/>
  <c r="E736" i="5"/>
  <c r="E737" i="5"/>
  <c r="X737" i="5" s="1"/>
  <c r="E738" i="5"/>
  <c r="X738" i="5" s="1"/>
  <c r="E739" i="5"/>
  <c r="X739" i="5" s="1"/>
  <c r="E740" i="5"/>
  <c r="X740" i="5" s="1"/>
  <c r="E741" i="5"/>
  <c r="X741" i="5" s="1"/>
  <c r="E742" i="5"/>
  <c r="X742" i="5" s="1"/>
  <c r="E743" i="5"/>
  <c r="X743" i="5" s="1"/>
  <c r="E744" i="5"/>
  <c r="E745" i="5"/>
  <c r="X745" i="5" s="1"/>
  <c r="E746" i="5"/>
  <c r="X746" i="5" s="1"/>
  <c r="E747" i="5"/>
  <c r="X747" i="5" s="1"/>
  <c r="E748" i="5"/>
  <c r="X748" i="5" s="1"/>
  <c r="E749" i="5"/>
  <c r="X749" i="5" s="1"/>
  <c r="E750" i="5"/>
  <c r="E751" i="5"/>
  <c r="X751" i="5" s="1"/>
  <c r="E752" i="5"/>
  <c r="E753" i="5"/>
  <c r="X753" i="5" s="1"/>
  <c r="E754" i="5"/>
  <c r="X754" i="5" s="1"/>
  <c r="E755" i="5"/>
  <c r="X755" i="5" s="1"/>
  <c r="E756" i="5"/>
  <c r="X756" i="5" s="1"/>
  <c r="E757" i="5"/>
  <c r="X757" i="5" s="1"/>
  <c r="E758" i="5"/>
  <c r="X758" i="5" s="1"/>
  <c r="E759" i="5"/>
  <c r="X759" i="5" s="1"/>
  <c r="E760" i="5"/>
  <c r="E761" i="5"/>
  <c r="E762" i="5"/>
  <c r="X762" i="5" s="1"/>
  <c r="E763" i="5"/>
  <c r="X763" i="5" s="1"/>
  <c r="E764" i="5"/>
  <c r="X764" i="5" s="1"/>
  <c r="E765" i="5"/>
  <c r="X765" i="5" s="1"/>
  <c r="E766" i="5"/>
  <c r="E767" i="5"/>
  <c r="X767" i="5" s="1"/>
  <c r="E768" i="5"/>
  <c r="E769" i="5"/>
  <c r="E770" i="5"/>
  <c r="X770" i="5" s="1"/>
  <c r="E771" i="5"/>
  <c r="X771" i="5" s="1"/>
  <c r="E772" i="5"/>
  <c r="X772" i="5" s="1"/>
  <c r="E773" i="5"/>
  <c r="X773" i="5" s="1"/>
  <c r="E774" i="5"/>
  <c r="E775" i="5"/>
  <c r="E776" i="5"/>
  <c r="E777" i="5"/>
  <c r="X777" i="5" s="1"/>
  <c r="E778" i="5"/>
  <c r="X778" i="5" s="1"/>
  <c r="E779" i="5"/>
  <c r="X779" i="5" s="1"/>
  <c r="E780" i="5"/>
  <c r="X780" i="5" s="1"/>
  <c r="E781" i="5"/>
  <c r="X781" i="5" s="1"/>
  <c r="E782" i="5"/>
  <c r="X782" i="5" s="1"/>
  <c r="E783" i="5"/>
  <c r="X783" i="5" s="1"/>
  <c r="E784" i="5"/>
  <c r="E785" i="5"/>
  <c r="E786" i="5"/>
  <c r="X786" i="5" s="1"/>
  <c r="E787" i="5"/>
  <c r="X787" i="5" s="1"/>
  <c r="E788" i="5"/>
  <c r="X788" i="5" s="1"/>
  <c r="E789" i="5"/>
  <c r="X789" i="5" s="1"/>
  <c r="E790" i="5"/>
  <c r="E791" i="5"/>
  <c r="X791" i="5" s="1"/>
  <c r="E792" i="5"/>
  <c r="E793" i="5"/>
  <c r="X793" i="5" s="1"/>
  <c r="E794" i="5"/>
  <c r="E795" i="5"/>
  <c r="X795" i="5" s="1"/>
  <c r="E796" i="5"/>
  <c r="X796" i="5" s="1"/>
  <c r="E797" i="5"/>
  <c r="X797" i="5" s="1"/>
  <c r="E798" i="5"/>
  <c r="X798" i="5" s="1"/>
  <c r="E799" i="5"/>
  <c r="X799" i="5" s="1"/>
  <c r="E800" i="5"/>
  <c r="E801" i="5"/>
  <c r="X801" i="5" s="1"/>
  <c r="E802" i="5"/>
  <c r="X802" i="5" s="1"/>
  <c r="E803" i="5"/>
  <c r="X803" i="5" s="1"/>
  <c r="E804" i="5"/>
  <c r="X804" i="5" s="1"/>
  <c r="E805" i="5"/>
  <c r="X805" i="5" s="1"/>
  <c r="E806" i="5"/>
  <c r="E807" i="5"/>
  <c r="X807" i="5" s="1"/>
  <c r="E808" i="5"/>
  <c r="E809" i="5"/>
  <c r="X809" i="5" s="1"/>
  <c r="E810" i="5"/>
  <c r="X810" i="5" s="1"/>
  <c r="E811" i="5"/>
  <c r="X811" i="5" s="1"/>
  <c r="E812" i="5"/>
  <c r="X812" i="5" s="1"/>
  <c r="E813" i="5"/>
  <c r="X813" i="5" s="1"/>
  <c r="E814" i="5"/>
  <c r="E815" i="5"/>
  <c r="X815" i="5" s="1"/>
  <c r="E816" i="5"/>
  <c r="E817" i="5"/>
  <c r="E818" i="5"/>
  <c r="X818" i="5" s="1"/>
  <c r="E819" i="5"/>
  <c r="X819" i="5" s="1"/>
  <c r="E820" i="5"/>
  <c r="X820" i="5" s="1"/>
  <c r="E821" i="5"/>
  <c r="X821" i="5" s="1"/>
  <c r="E822" i="5"/>
  <c r="E823" i="5"/>
  <c r="E824" i="5"/>
  <c r="E825" i="5"/>
  <c r="E826" i="5"/>
  <c r="X826" i="5" s="1"/>
  <c r="E827" i="5"/>
  <c r="X827" i="5" s="1"/>
  <c r="E828" i="5"/>
  <c r="X828" i="5" s="1"/>
  <c r="E829" i="5"/>
  <c r="X829" i="5" s="1"/>
  <c r="E830" i="5"/>
  <c r="E831" i="5"/>
  <c r="X831" i="5" s="1"/>
  <c r="E832" i="5"/>
  <c r="E833" i="5"/>
  <c r="X833" i="5" s="1"/>
  <c r="E834" i="5"/>
  <c r="X834" i="5" s="1"/>
  <c r="E835" i="5"/>
  <c r="X835" i="5" s="1"/>
  <c r="E836" i="5"/>
  <c r="X836" i="5" s="1"/>
  <c r="E837" i="5"/>
  <c r="X837" i="5" s="1"/>
  <c r="E838" i="5"/>
  <c r="E839" i="5"/>
  <c r="X839" i="5" s="1"/>
  <c r="E840" i="5"/>
  <c r="E841" i="5"/>
  <c r="X841" i="5" s="1"/>
  <c r="E842" i="5"/>
  <c r="X842" i="5" s="1"/>
  <c r="E843" i="5"/>
  <c r="X843" i="5" s="1"/>
  <c r="E844" i="5"/>
  <c r="X844" i="5" s="1"/>
  <c r="E845" i="5"/>
  <c r="X845" i="5" s="1"/>
  <c r="E846" i="5"/>
  <c r="X846" i="5" s="1"/>
  <c r="E847" i="5"/>
  <c r="X847" i="5" s="1"/>
  <c r="E848" i="5"/>
  <c r="E849" i="5"/>
  <c r="X849" i="5" s="1"/>
  <c r="E850" i="5"/>
  <c r="X850" i="5" s="1"/>
  <c r="E851" i="5"/>
  <c r="X851" i="5" s="1"/>
  <c r="E852" i="5"/>
  <c r="X852" i="5" s="1"/>
  <c r="E853" i="5"/>
  <c r="X853" i="5" s="1"/>
  <c r="E854" i="5"/>
  <c r="E855" i="5"/>
  <c r="X855" i="5" s="1"/>
  <c r="E856" i="5"/>
  <c r="E857" i="5"/>
  <c r="E858" i="5"/>
  <c r="E859" i="5"/>
  <c r="X859" i="5" s="1"/>
  <c r="E860" i="5"/>
  <c r="X860" i="5" s="1"/>
  <c r="E861" i="5"/>
  <c r="X861" i="5" s="1"/>
  <c r="E862" i="5"/>
  <c r="E863" i="5"/>
  <c r="X863" i="5" s="1"/>
  <c r="E864" i="5"/>
  <c r="E865" i="5"/>
  <c r="X865" i="5" s="1"/>
  <c r="E866" i="5"/>
  <c r="X866" i="5" s="1"/>
  <c r="E867" i="5"/>
  <c r="X867" i="5" s="1"/>
  <c r="E868" i="5"/>
  <c r="X868" i="5" s="1"/>
  <c r="E869" i="5"/>
  <c r="X869" i="5" s="1"/>
  <c r="E870" i="5"/>
  <c r="E871" i="5"/>
  <c r="X871" i="5" s="1"/>
  <c r="E872" i="5"/>
  <c r="E873" i="5"/>
  <c r="E874" i="5"/>
  <c r="E875" i="5"/>
  <c r="X875" i="5" s="1"/>
  <c r="E876" i="5"/>
  <c r="X876" i="5" s="1"/>
  <c r="E877" i="5"/>
  <c r="X877" i="5" s="1"/>
  <c r="E878" i="5"/>
  <c r="E879" i="5"/>
  <c r="X879" i="5" s="1"/>
  <c r="E880" i="5"/>
  <c r="E881" i="5"/>
  <c r="X881" i="5" s="1"/>
  <c r="E882" i="5"/>
  <c r="E883" i="5"/>
  <c r="X883" i="5" s="1"/>
  <c r="E884" i="5"/>
  <c r="X884" i="5" s="1"/>
  <c r="E885" i="5"/>
  <c r="X885" i="5" s="1"/>
  <c r="E886" i="5"/>
  <c r="X886" i="5" s="1"/>
  <c r="E887" i="5"/>
  <c r="X887" i="5" s="1"/>
  <c r="E888" i="5"/>
  <c r="E889" i="5"/>
  <c r="E890" i="5"/>
  <c r="X890" i="5" s="1"/>
  <c r="E891" i="5"/>
  <c r="X891" i="5" s="1"/>
  <c r="E892" i="5"/>
  <c r="X892" i="5" s="1"/>
  <c r="E893" i="5"/>
  <c r="X893" i="5" s="1"/>
  <c r="E894" i="5"/>
  <c r="E895" i="5"/>
  <c r="E896" i="5"/>
  <c r="E897" i="5"/>
  <c r="X897" i="5" s="1"/>
  <c r="E898" i="5"/>
  <c r="X898" i="5" s="1"/>
  <c r="E899" i="5"/>
  <c r="X899" i="5" s="1"/>
  <c r="E900" i="5"/>
  <c r="X900" i="5" s="1"/>
  <c r="E901" i="5"/>
  <c r="X901" i="5" s="1"/>
  <c r="E902" i="5"/>
  <c r="X902" i="5" s="1"/>
  <c r="E903" i="5"/>
  <c r="X903" i="5" s="1"/>
  <c r="E904" i="5"/>
  <c r="E905" i="5"/>
  <c r="E906" i="5"/>
  <c r="X906" i="5" s="1"/>
  <c r="E907" i="5"/>
  <c r="X907" i="5" s="1"/>
  <c r="E908" i="5"/>
  <c r="X908" i="5" s="1"/>
  <c r="E909" i="5"/>
  <c r="X909" i="5" s="1"/>
  <c r="E910" i="5"/>
  <c r="X910" i="5" s="1"/>
  <c r="E911" i="5"/>
  <c r="E912" i="5"/>
  <c r="E913" i="5"/>
  <c r="E914" i="5"/>
  <c r="E915" i="5"/>
  <c r="X915" i="5" s="1"/>
  <c r="E916" i="5"/>
  <c r="X916" i="5" s="1"/>
  <c r="E917" i="5"/>
  <c r="X917" i="5" s="1"/>
  <c r="E918" i="5"/>
  <c r="E919" i="5"/>
  <c r="X919" i="5" s="1"/>
  <c r="E920" i="5"/>
  <c r="E921" i="5"/>
  <c r="X921" i="5" s="1"/>
  <c r="E922" i="5"/>
  <c r="X922" i="5" s="1"/>
  <c r="E923" i="5"/>
  <c r="X923" i="5" s="1"/>
  <c r="E924" i="5"/>
  <c r="X924" i="5" s="1"/>
  <c r="E925" i="5"/>
  <c r="X925" i="5" s="1"/>
  <c r="E926" i="5"/>
  <c r="E927" i="5"/>
  <c r="X927" i="5" s="1"/>
  <c r="E928" i="5"/>
  <c r="E929" i="5"/>
  <c r="X929" i="5" s="1"/>
  <c r="E930" i="5"/>
  <c r="E931" i="5"/>
  <c r="X931" i="5" s="1"/>
  <c r="E932" i="5"/>
  <c r="X932" i="5" s="1"/>
  <c r="E933" i="5"/>
  <c r="X933" i="5" s="1"/>
  <c r="E934" i="5"/>
  <c r="X934" i="5" s="1"/>
  <c r="E935" i="5"/>
  <c r="X935" i="5" s="1"/>
  <c r="E936" i="5"/>
  <c r="E937" i="5"/>
  <c r="X937" i="5" s="1"/>
  <c r="E938" i="5"/>
  <c r="X938" i="5" s="1"/>
  <c r="E939" i="5"/>
  <c r="X939" i="5" s="1"/>
  <c r="E940" i="5"/>
  <c r="X940" i="5" s="1"/>
  <c r="E941" i="5"/>
  <c r="X941" i="5" s="1"/>
  <c r="E942" i="5"/>
  <c r="X942" i="5" s="1"/>
  <c r="E943" i="5"/>
  <c r="X943" i="5" s="1"/>
  <c r="E944" i="5"/>
  <c r="E945" i="5"/>
  <c r="X945" i="5" s="1"/>
  <c r="E946" i="5"/>
  <c r="X946" i="5" s="1"/>
  <c r="E947" i="5"/>
  <c r="X947" i="5" s="1"/>
  <c r="E948" i="5"/>
  <c r="X948" i="5" s="1"/>
  <c r="E949" i="5"/>
  <c r="X949" i="5" s="1"/>
  <c r="E950" i="5"/>
  <c r="E951" i="5"/>
  <c r="X951" i="5" s="1"/>
  <c r="E952" i="5"/>
  <c r="E953" i="5"/>
  <c r="X953" i="5" s="1"/>
  <c r="E954" i="5"/>
  <c r="X954" i="5" s="1"/>
  <c r="E955" i="5"/>
  <c r="X955" i="5" s="1"/>
  <c r="E956" i="5"/>
  <c r="X956" i="5" s="1"/>
  <c r="E957" i="5"/>
  <c r="X957" i="5" s="1"/>
  <c r="E958" i="5"/>
  <c r="E959" i="5"/>
  <c r="X959" i="5" s="1"/>
  <c r="E960" i="5"/>
  <c r="E961" i="5"/>
  <c r="E962" i="5"/>
  <c r="X962" i="5" s="1"/>
  <c r="E963" i="5"/>
  <c r="X963" i="5" s="1"/>
  <c r="E964" i="5"/>
  <c r="X964" i="5" s="1"/>
  <c r="E965" i="5"/>
  <c r="X965" i="5" s="1"/>
  <c r="E966" i="5"/>
  <c r="X966" i="5" s="1"/>
  <c r="E967" i="5"/>
  <c r="X967" i="5" s="1"/>
  <c r="E968" i="5"/>
  <c r="E969" i="5"/>
  <c r="X969" i="5" s="1"/>
  <c r="E970" i="5"/>
  <c r="E971" i="5"/>
  <c r="X971" i="5" s="1"/>
  <c r="E972" i="5"/>
  <c r="X972" i="5" s="1"/>
  <c r="E973" i="5"/>
  <c r="X973" i="5" s="1"/>
  <c r="E974" i="5"/>
  <c r="X974" i="5" s="1"/>
  <c r="E975" i="5"/>
  <c r="X975" i="5" s="1"/>
  <c r="E976" i="5"/>
  <c r="E977" i="5"/>
  <c r="E978" i="5"/>
  <c r="X978" i="5" s="1"/>
  <c r="E979" i="5"/>
  <c r="X979" i="5" s="1"/>
  <c r="E980" i="5"/>
  <c r="X980" i="5" s="1"/>
  <c r="E981" i="5"/>
  <c r="X981" i="5" s="1"/>
  <c r="E982" i="5"/>
  <c r="E983" i="5"/>
  <c r="X983" i="5" s="1"/>
  <c r="E984" i="5"/>
  <c r="E985" i="5"/>
  <c r="X985" i="5" s="1"/>
  <c r="E986" i="5"/>
  <c r="X986" i="5" s="1"/>
  <c r="E987" i="5"/>
  <c r="X987" i="5" s="1"/>
  <c r="E988" i="5"/>
  <c r="X988" i="5" s="1"/>
  <c r="E989" i="5"/>
  <c r="X989" i="5" s="1"/>
  <c r="E990" i="5"/>
  <c r="X990" i="5" s="1"/>
  <c r="E991" i="5"/>
  <c r="X991" i="5" s="1"/>
  <c r="E992" i="5"/>
  <c r="E993" i="5"/>
  <c r="X993" i="5" s="1"/>
  <c r="E994" i="5"/>
  <c r="X994" i="5" s="1"/>
  <c r="E995" i="5"/>
  <c r="X995" i="5" s="1"/>
  <c r="E996" i="5"/>
  <c r="X996" i="5" s="1"/>
  <c r="E997" i="5"/>
  <c r="X997" i="5" s="1"/>
  <c r="E998" i="5"/>
  <c r="X998" i="5" s="1"/>
  <c r="E999" i="5"/>
  <c r="X999" i="5" s="1"/>
  <c r="E1000" i="5"/>
  <c r="E1001" i="5"/>
  <c r="X1001" i="5" s="1"/>
  <c r="E1002" i="5"/>
  <c r="X1002" i="5" s="1"/>
  <c r="E1003" i="5"/>
  <c r="X1003" i="5" s="1"/>
  <c r="E1004" i="5"/>
  <c r="X1004" i="5" s="1"/>
  <c r="E1005" i="5"/>
  <c r="X1005" i="5" s="1"/>
  <c r="E1006" i="5"/>
  <c r="E1007" i="5"/>
  <c r="X1007" i="5" s="1"/>
  <c r="E1008" i="5"/>
  <c r="E1009" i="5"/>
  <c r="X1009" i="5" s="1"/>
  <c r="E1010" i="5"/>
  <c r="X1010" i="5" s="1"/>
  <c r="E1011" i="5"/>
  <c r="X1011" i="5" s="1"/>
  <c r="E1012" i="5"/>
  <c r="X1012" i="5" s="1"/>
  <c r="E1013" i="5"/>
  <c r="X1013" i="5" s="1"/>
  <c r="E1014" i="5"/>
  <c r="X1014" i="5" s="1"/>
  <c r="E1015" i="5"/>
  <c r="E1016" i="5"/>
  <c r="E1017" i="5"/>
  <c r="X1017" i="5" s="1"/>
  <c r="E1018" i="5"/>
  <c r="X1018" i="5" s="1"/>
  <c r="E1019" i="5"/>
  <c r="X1019" i="5" s="1"/>
  <c r="E1020" i="5"/>
  <c r="X1020" i="5" s="1"/>
  <c r="E1021" i="5"/>
  <c r="X1021" i="5" s="1"/>
  <c r="E1022" i="5"/>
  <c r="X1022" i="5" s="1"/>
  <c r="E1023" i="5"/>
  <c r="X1023" i="5" s="1"/>
  <c r="E1024" i="5"/>
  <c r="E1025" i="5"/>
  <c r="X1025" i="5" s="1"/>
  <c r="E1026" i="5"/>
  <c r="X1026" i="5" s="1"/>
  <c r="E1027" i="5"/>
  <c r="X1027" i="5" s="1"/>
  <c r="E1028" i="5"/>
  <c r="X1028" i="5" s="1"/>
  <c r="E1029" i="5"/>
  <c r="X1029" i="5" s="1"/>
  <c r="E1030" i="5"/>
  <c r="X1030" i="5" s="1"/>
  <c r="E1031" i="5"/>
  <c r="X1031" i="5" s="1"/>
  <c r="E1032" i="5"/>
  <c r="E1033" i="5"/>
  <c r="E1034" i="5"/>
  <c r="X1034" i="5" s="1"/>
  <c r="E1035" i="5"/>
  <c r="X1035" i="5" s="1"/>
  <c r="E1036" i="5"/>
  <c r="X1036" i="5" s="1"/>
  <c r="E1037" i="5"/>
  <c r="X1037" i="5" s="1"/>
  <c r="E1038" i="5"/>
  <c r="X1038" i="5" s="1"/>
  <c r="E1039" i="5"/>
  <c r="X1039" i="5" s="1"/>
  <c r="E1040" i="5"/>
  <c r="E1041" i="5"/>
  <c r="E1042" i="5"/>
  <c r="X1042" i="5" s="1"/>
  <c r="E1043" i="5"/>
  <c r="X1043" i="5" s="1"/>
  <c r="E1044" i="5"/>
  <c r="X1044" i="5" s="1"/>
  <c r="E1045" i="5"/>
  <c r="X1045" i="5" s="1"/>
  <c r="E1046" i="5"/>
  <c r="X1046" i="5" s="1"/>
  <c r="E1047" i="5"/>
  <c r="X1047" i="5" s="1"/>
  <c r="E1048" i="5"/>
  <c r="E1049" i="5"/>
  <c r="E1050" i="5"/>
  <c r="X1050" i="5" s="1"/>
  <c r="E1051" i="5"/>
  <c r="X1051" i="5" s="1"/>
  <c r="E1052" i="5"/>
  <c r="X1052" i="5" s="1"/>
  <c r="E1053" i="5"/>
  <c r="X1053" i="5" s="1"/>
  <c r="E1054" i="5"/>
  <c r="X1054" i="5" s="1"/>
  <c r="E1055" i="5"/>
  <c r="X1055" i="5" s="1"/>
  <c r="E1056" i="5"/>
  <c r="E1057" i="5"/>
  <c r="E1058" i="5"/>
  <c r="X1058" i="5" s="1"/>
  <c r="E1059" i="5"/>
  <c r="X1059" i="5" s="1"/>
  <c r="E1060" i="5"/>
  <c r="X1060" i="5" s="1"/>
  <c r="E1061" i="5"/>
  <c r="X1061" i="5" s="1"/>
  <c r="E1062" i="5"/>
  <c r="E1063" i="5"/>
  <c r="X1063" i="5" s="1"/>
  <c r="E1064" i="5"/>
  <c r="E1065" i="5"/>
  <c r="X1065" i="5" s="1"/>
  <c r="E1066" i="5"/>
  <c r="X1066" i="5" s="1"/>
  <c r="E1067" i="5"/>
  <c r="X1067" i="5" s="1"/>
  <c r="E1068" i="5"/>
  <c r="X1068" i="5" s="1"/>
  <c r="E1069" i="5"/>
  <c r="X1069" i="5" s="1"/>
  <c r="E1070" i="5"/>
  <c r="X1070" i="5" s="1"/>
  <c r="E1071" i="5"/>
  <c r="X1071" i="5" s="1"/>
  <c r="E1072" i="5"/>
  <c r="E1073" i="5"/>
  <c r="X1073" i="5" s="1"/>
  <c r="E1074" i="5"/>
  <c r="X1074" i="5" s="1"/>
  <c r="E1075" i="5"/>
  <c r="X1075" i="5" s="1"/>
  <c r="E1076" i="5"/>
  <c r="X1076" i="5" s="1"/>
  <c r="E1077" i="5"/>
  <c r="X1077" i="5" s="1"/>
  <c r="E1078" i="5"/>
  <c r="E1079" i="5"/>
  <c r="X1079" i="5" s="1"/>
  <c r="E1080" i="5"/>
  <c r="E1081" i="5"/>
  <c r="E1082" i="5"/>
  <c r="X1082" i="5" s="1"/>
  <c r="E1083" i="5"/>
  <c r="X1083" i="5" s="1"/>
  <c r="E1084" i="5"/>
  <c r="X1084" i="5" s="1"/>
  <c r="E1085" i="5"/>
  <c r="X1085" i="5" s="1"/>
  <c r="E1086" i="5"/>
  <c r="E1087" i="5"/>
  <c r="X1087" i="5" s="1"/>
  <c r="E1088" i="5"/>
  <c r="E1089" i="5"/>
  <c r="X1089" i="5" s="1"/>
  <c r="E1090" i="5"/>
  <c r="X1090" i="5" s="1"/>
  <c r="E1091" i="5"/>
  <c r="X1091" i="5" s="1"/>
  <c r="E1092" i="5"/>
  <c r="X1092" i="5" s="1"/>
  <c r="E1093" i="5"/>
  <c r="X1093" i="5" s="1"/>
  <c r="E1094" i="5"/>
  <c r="X1094" i="5" s="1"/>
  <c r="E1095" i="5"/>
  <c r="X1095" i="5" s="1"/>
  <c r="E1096" i="5"/>
  <c r="E1097" i="5"/>
  <c r="E1098" i="5"/>
  <c r="X1098" i="5" s="1"/>
  <c r="E1099" i="5"/>
  <c r="X1099" i="5" s="1"/>
  <c r="E1100" i="5"/>
  <c r="X1100" i="5" s="1"/>
  <c r="E1101" i="5"/>
  <c r="X1101" i="5" s="1"/>
  <c r="E1102" i="5"/>
  <c r="E1103" i="5"/>
  <c r="X1103" i="5" s="1"/>
  <c r="E1104" i="5"/>
  <c r="E1105" i="5"/>
  <c r="E1106" i="5"/>
  <c r="X1106" i="5" s="1"/>
  <c r="E1107" i="5"/>
  <c r="X1107" i="5" s="1"/>
  <c r="E1108" i="5"/>
  <c r="X1108" i="5" s="1"/>
  <c r="E1109" i="5"/>
  <c r="X1109" i="5" s="1"/>
  <c r="E1110" i="5"/>
  <c r="E1111" i="5"/>
  <c r="X1111" i="5" s="1"/>
  <c r="E1112" i="5"/>
  <c r="E1113" i="5"/>
  <c r="E1114" i="5"/>
  <c r="X1114" i="5" s="1"/>
  <c r="E1115" i="5"/>
  <c r="X1115" i="5" s="1"/>
  <c r="E1116" i="5"/>
  <c r="X1116" i="5" s="1"/>
  <c r="E1117" i="5"/>
  <c r="X1117" i="5" s="1"/>
  <c r="E1118" i="5"/>
  <c r="X1118" i="5" s="1"/>
  <c r="E1119" i="5"/>
  <c r="X1119" i="5" s="1"/>
  <c r="E1120" i="5"/>
  <c r="E1121" i="5"/>
  <c r="X1121" i="5" s="1"/>
  <c r="E1122" i="5"/>
  <c r="X1122" i="5" s="1"/>
  <c r="E1123" i="5"/>
  <c r="X1123" i="5" s="1"/>
  <c r="E1124" i="5"/>
  <c r="X1124" i="5" s="1"/>
  <c r="E1125" i="5"/>
  <c r="X1125" i="5" s="1"/>
  <c r="E1126" i="5"/>
  <c r="E1127" i="5"/>
  <c r="X1127" i="5" s="1"/>
  <c r="E1128" i="5"/>
  <c r="E1129" i="5"/>
  <c r="E1130" i="5"/>
  <c r="X1130" i="5" s="1"/>
  <c r="E1131" i="5"/>
  <c r="X1131" i="5" s="1"/>
  <c r="E1132" i="5"/>
  <c r="X1132" i="5" s="1"/>
  <c r="E1133" i="5"/>
  <c r="X1133" i="5" s="1"/>
  <c r="E1134" i="5"/>
  <c r="E1135" i="5"/>
  <c r="X1135" i="5" s="1"/>
  <c r="E1136" i="5"/>
  <c r="E1137" i="5"/>
  <c r="E1138" i="5"/>
  <c r="X1138" i="5" s="1"/>
  <c r="E1139" i="5"/>
  <c r="X1139" i="5" s="1"/>
  <c r="E1140" i="5"/>
  <c r="X1140" i="5" s="1"/>
  <c r="E1141" i="5"/>
  <c r="X1141" i="5" s="1"/>
  <c r="E1142" i="5"/>
  <c r="E1143" i="5"/>
  <c r="X1143" i="5" s="1"/>
  <c r="E1144" i="5"/>
  <c r="E1145" i="5"/>
  <c r="E1146" i="5"/>
  <c r="X1146" i="5" s="1"/>
  <c r="E1147" i="5"/>
  <c r="X1147" i="5" s="1"/>
  <c r="E1148" i="5"/>
  <c r="X1148" i="5" s="1"/>
  <c r="E1149" i="5"/>
  <c r="X1149" i="5" s="1"/>
  <c r="E1150" i="5"/>
  <c r="X1150" i="5" s="1"/>
  <c r="E1151" i="5"/>
  <c r="X1151" i="5" s="1"/>
  <c r="E1152" i="5"/>
  <c r="E1153" i="5"/>
  <c r="E1154" i="5"/>
  <c r="X1154" i="5" s="1"/>
  <c r="E1155" i="5"/>
  <c r="X1155" i="5" s="1"/>
  <c r="E1156" i="5"/>
  <c r="X1156" i="5" s="1"/>
  <c r="E1157" i="5"/>
  <c r="X1157" i="5" s="1"/>
  <c r="E1158" i="5"/>
  <c r="E1159" i="5"/>
  <c r="E1160" i="5"/>
  <c r="E1161" i="5"/>
  <c r="X1161" i="5" s="1"/>
  <c r="E1162" i="5"/>
  <c r="X1162" i="5" s="1"/>
  <c r="E1163" i="5"/>
  <c r="X1163" i="5" s="1"/>
  <c r="E1164" i="5"/>
  <c r="X1164" i="5" s="1"/>
  <c r="E1165" i="5"/>
  <c r="X1165" i="5" s="1"/>
  <c r="E1166" i="5"/>
  <c r="E1167" i="5"/>
  <c r="X1167" i="5" s="1"/>
  <c r="E1168" i="5"/>
  <c r="E1169" i="5"/>
  <c r="X1169" i="5" s="1"/>
  <c r="E1170" i="5"/>
  <c r="E1171" i="5"/>
  <c r="X1171" i="5" s="1"/>
  <c r="E1172" i="5"/>
  <c r="X1172" i="5" s="1"/>
  <c r="E1173" i="5"/>
  <c r="X1173" i="5" s="1"/>
  <c r="E1174" i="5"/>
  <c r="E1175" i="5"/>
  <c r="E1176" i="5"/>
  <c r="E1177" i="5"/>
  <c r="X1177" i="5" s="1"/>
  <c r="E1178" i="5"/>
  <c r="X1178" i="5" s="1"/>
  <c r="E1179" i="5"/>
  <c r="X1179" i="5" s="1"/>
  <c r="E1180" i="5"/>
  <c r="X1180" i="5" s="1"/>
  <c r="E1181" i="5"/>
  <c r="X1181" i="5" s="1"/>
  <c r="E1182" i="5"/>
  <c r="E1183" i="5"/>
  <c r="X1183" i="5" s="1"/>
  <c r="E1184" i="5"/>
  <c r="E1185" i="5"/>
  <c r="E1186" i="5"/>
  <c r="X1186" i="5" s="1"/>
  <c r="E1187" i="5"/>
  <c r="X1187" i="5" s="1"/>
  <c r="E1188" i="5"/>
  <c r="X1188" i="5" s="1"/>
  <c r="E1189" i="5"/>
  <c r="X1189" i="5" s="1"/>
  <c r="E1190" i="5"/>
  <c r="E1191" i="5"/>
  <c r="E1192" i="5"/>
  <c r="E1193" i="5"/>
  <c r="X1193" i="5" s="1"/>
  <c r="E1194" i="5"/>
  <c r="X1194" i="5" s="1"/>
  <c r="E1195" i="5"/>
  <c r="X1195" i="5" s="1"/>
  <c r="E1196" i="5"/>
  <c r="X1196" i="5" s="1"/>
  <c r="E1197" i="5"/>
  <c r="X1197" i="5" s="1"/>
  <c r="E1198" i="5"/>
  <c r="X1198" i="5" s="1"/>
  <c r="E1199" i="5"/>
  <c r="X1199" i="5" s="1"/>
  <c r="E1200" i="5"/>
  <c r="E1201" i="5"/>
  <c r="E1202" i="5"/>
  <c r="X1202" i="5" s="1"/>
  <c r="E1203" i="5"/>
  <c r="X1203" i="5" s="1"/>
  <c r="E1204" i="5"/>
  <c r="X1204" i="5" s="1"/>
  <c r="E1205" i="5"/>
  <c r="X1205" i="5" s="1"/>
  <c r="E1206" i="5"/>
  <c r="E1207" i="5"/>
  <c r="X1207" i="5" s="1"/>
  <c r="E1208" i="5"/>
  <c r="E1209" i="5"/>
  <c r="X1209" i="5" s="1"/>
  <c r="E1210" i="5"/>
  <c r="X1210" i="5" s="1"/>
  <c r="E1211" i="5"/>
  <c r="X1211" i="5" s="1"/>
  <c r="E1212" i="5"/>
  <c r="X1212" i="5" s="1"/>
  <c r="E1213" i="5"/>
  <c r="X1213" i="5" s="1"/>
  <c r="E1214" i="5"/>
  <c r="E1215" i="5"/>
  <c r="X1215" i="5" s="1"/>
  <c r="E1216" i="5"/>
  <c r="E1217" i="5"/>
  <c r="X1217" i="5" s="1"/>
  <c r="E1218" i="5"/>
  <c r="X1218" i="5" s="1"/>
  <c r="E1219" i="5"/>
  <c r="X1219" i="5" s="1"/>
  <c r="E1220" i="5"/>
  <c r="X1220" i="5" s="1"/>
  <c r="E1221" i="5"/>
  <c r="X1221" i="5" s="1"/>
  <c r="E1222" i="5"/>
  <c r="X1222" i="5" s="1"/>
  <c r="E1223" i="5"/>
  <c r="E1224" i="5"/>
  <c r="E1225" i="5"/>
  <c r="X1225" i="5" s="1"/>
  <c r="E1226" i="5"/>
  <c r="X1226" i="5" s="1"/>
  <c r="E1227" i="5"/>
  <c r="X1227" i="5" s="1"/>
  <c r="E1228" i="5"/>
  <c r="X1228" i="5" s="1"/>
  <c r="E1229" i="5"/>
  <c r="X1229" i="5" s="1"/>
  <c r="E1230" i="5"/>
  <c r="X1230" i="5" s="1"/>
  <c r="E1231" i="5"/>
  <c r="X1231" i="5" s="1"/>
  <c r="E1232" i="5"/>
  <c r="E1233" i="5"/>
  <c r="E1234" i="5"/>
  <c r="X1234" i="5" s="1"/>
  <c r="E1235" i="5"/>
  <c r="X1235" i="5" s="1"/>
  <c r="E1236" i="5"/>
  <c r="X1236" i="5" s="1"/>
  <c r="E1237" i="5"/>
  <c r="X1237" i="5" s="1"/>
  <c r="E1238" i="5"/>
  <c r="E1239" i="5"/>
  <c r="X1239" i="5" s="1"/>
  <c r="E1240" i="5"/>
  <c r="E1241" i="5"/>
  <c r="X1241" i="5" s="1"/>
  <c r="E1242" i="5"/>
  <c r="X1242" i="5" s="1"/>
  <c r="E1243" i="5"/>
  <c r="X1243" i="5" s="1"/>
  <c r="E1244" i="5"/>
  <c r="X1244" i="5" s="1"/>
  <c r="E1245" i="5"/>
  <c r="X1245" i="5" s="1"/>
  <c r="E1246" i="5"/>
  <c r="E1247" i="5"/>
  <c r="X1247" i="5" s="1"/>
  <c r="E1248" i="5"/>
  <c r="E1249" i="5"/>
  <c r="X1249" i="5" s="1"/>
  <c r="E1250" i="5"/>
  <c r="X1250" i="5" s="1"/>
  <c r="E1251" i="5"/>
  <c r="X1251" i="5" s="1"/>
  <c r="E1252" i="5"/>
  <c r="X1252" i="5" s="1"/>
  <c r="E1253" i="5"/>
  <c r="X1253" i="5" s="1"/>
  <c r="E1254" i="5"/>
  <c r="X1254" i="5" s="1"/>
  <c r="E1255" i="5"/>
  <c r="X1255" i="5" s="1"/>
  <c r="E1256" i="5"/>
  <c r="E1257" i="5"/>
  <c r="X1257" i="5" s="1"/>
  <c r="E1258" i="5"/>
  <c r="X1258" i="5" s="1"/>
  <c r="E1259" i="5"/>
  <c r="X1259" i="5" s="1"/>
  <c r="E1260" i="5"/>
  <c r="X1260" i="5" s="1"/>
  <c r="E1261" i="5"/>
  <c r="X1261" i="5" s="1"/>
  <c r="E1262" i="5"/>
  <c r="X1262" i="5" s="1"/>
  <c r="E1263" i="5"/>
  <c r="X1263" i="5" s="1"/>
  <c r="E1264" i="5"/>
  <c r="E1265" i="5"/>
  <c r="E1266" i="5"/>
  <c r="E1267" i="5"/>
  <c r="X1267" i="5" s="1"/>
  <c r="E1268" i="5"/>
  <c r="X1268" i="5" s="1"/>
  <c r="E1269" i="5"/>
  <c r="X1269" i="5" s="1"/>
  <c r="E1270" i="5"/>
  <c r="E1271" i="5"/>
  <c r="X1271" i="5" s="1"/>
  <c r="E1272" i="5"/>
  <c r="E1273" i="5"/>
  <c r="X1273" i="5" s="1"/>
  <c r="E1274" i="5"/>
  <c r="X1274" i="5" s="1"/>
  <c r="E1275" i="5"/>
  <c r="X1275" i="5" s="1"/>
  <c r="E1276" i="5"/>
  <c r="X1276" i="5" s="1"/>
  <c r="E1277" i="5"/>
  <c r="X1277" i="5" s="1"/>
  <c r="E1278" i="5"/>
  <c r="E1279" i="5"/>
  <c r="E1280" i="5"/>
  <c r="E1281" i="5"/>
  <c r="X1281" i="5" s="1"/>
  <c r="E1282" i="5"/>
  <c r="X1282" i="5" s="1"/>
  <c r="E1283" i="5"/>
  <c r="X1283" i="5" s="1"/>
  <c r="E1284" i="5"/>
  <c r="X1284" i="5" s="1"/>
  <c r="E1285" i="5"/>
  <c r="X1285" i="5" s="1"/>
  <c r="E1286" i="5"/>
  <c r="X1286" i="5" s="1"/>
  <c r="E1287" i="5"/>
  <c r="X1287" i="5" s="1"/>
  <c r="E1288" i="5"/>
  <c r="E1289" i="5"/>
  <c r="E1290" i="5"/>
  <c r="E1291" i="5"/>
  <c r="X1291" i="5" s="1"/>
  <c r="E1292" i="5"/>
  <c r="X1292" i="5" s="1"/>
  <c r="E1293" i="5"/>
  <c r="X1293" i="5" s="1"/>
  <c r="E1294" i="5"/>
  <c r="E1295" i="5"/>
  <c r="X1295" i="5" s="1"/>
  <c r="E1296" i="5"/>
  <c r="E1297" i="5"/>
  <c r="E1298" i="5"/>
  <c r="X1298" i="5" s="1"/>
  <c r="E1299" i="5"/>
  <c r="X1299" i="5" s="1"/>
  <c r="E1300" i="5"/>
  <c r="X1300" i="5" s="1"/>
  <c r="E1301" i="5"/>
  <c r="X1301" i="5" s="1"/>
  <c r="E1302" i="5"/>
  <c r="E1303" i="5"/>
  <c r="X1303" i="5" s="1"/>
  <c r="E1304" i="5"/>
  <c r="E1305" i="5"/>
  <c r="X1305" i="5" s="1"/>
  <c r="E1306" i="5"/>
  <c r="X1306" i="5" s="1"/>
  <c r="E1307" i="5"/>
  <c r="X1307" i="5" s="1"/>
  <c r="E1308" i="5"/>
  <c r="X1308" i="5" s="1"/>
  <c r="E1309" i="5"/>
  <c r="X1309" i="5" s="1"/>
  <c r="E1310" i="5"/>
  <c r="E1311" i="5"/>
  <c r="X1311" i="5" s="1"/>
  <c r="E1312" i="5"/>
  <c r="E1313" i="5"/>
  <c r="E1314" i="5"/>
  <c r="X1314" i="5" s="1"/>
  <c r="E1315" i="5"/>
  <c r="X1315" i="5" s="1"/>
  <c r="E1316" i="5"/>
  <c r="X1316" i="5" s="1"/>
  <c r="E1317" i="5"/>
  <c r="X1317" i="5" s="1"/>
  <c r="E1318" i="5"/>
  <c r="X1318" i="5" s="1"/>
  <c r="E1319" i="5"/>
  <c r="X1319" i="5" s="1"/>
  <c r="E1320" i="5"/>
  <c r="E1321" i="5"/>
  <c r="X1321" i="5" s="1"/>
  <c r="E1322" i="5"/>
  <c r="E1323" i="5"/>
  <c r="X1323" i="5" s="1"/>
  <c r="E1324" i="5"/>
  <c r="X1324" i="5" s="1"/>
  <c r="E1325" i="5"/>
  <c r="X1325" i="5" s="1"/>
  <c r="E1326" i="5"/>
  <c r="E1327" i="5"/>
  <c r="X1327" i="5" s="1"/>
  <c r="E1328" i="5"/>
  <c r="E1329" i="5"/>
  <c r="E1330" i="5"/>
  <c r="X1330" i="5" s="1"/>
  <c r="E1331" i="5"/>
  <c r="X1331" i="5" s="1"/>
  <c r="E1332" i="5"/>
  <c r="X1332" i="5" s="1"/>
  <c r="E1333" i="5"/>
  <c r="X1333" i="5" s="1"/>
  <c r="E1334" i="5"/>
  <c r="E1335" i="5"/>
  <c r="X1335" i="5" s="1"/>
  <c r="E1336" i="5"/>
  <c r="E1337" i="5"/>
  <c r="E1338" i="5"/>
  <c r="X1338" i="5" s="1"/>
  <c r="E1339" i="5"/>
  <c r="X1339" i="5" s="1"/>
  <c r="E1340" i="5"/>
  <c r="X1340" i="5" s="1"/>
  <c r="E1341" i="5"/>
  <c r="X1341" i="5" s="1"/>
  <c r="E1342" i="5"/>
  <c r="X1342" i="5" s="1"/>
  <c r="E1343" i="5"/>
  <c r="E1344" i="5"/>
  <c r="E1345" i="5"/>
  <c r="X1345" i="5" s="1"/>
  <c r="E1346" i="5"/>
  <c r="X1346" i="5" s="1"/>
  <c r="E1347" i="5"/>
  <c r="X1347" i="5" s="1"/>
  <c r="E1348" i="5"/>
  <c r="X1348" i="5" s="1"/>
  <c r="E1349" i="5"/>
  <c r="X1349" i="5" s="1"/>
  <c r="E1350" i="5"/>
  <c r="E1351" i="5"/>
  <c r="X1351" i="5" s="1"/>
  <c r="E1352" i="5"/>
  <c r="E1353" i="5"/>
  <c r="E1354" i="5"/>
  <c r="X1354" i="5" s="1"/>
  <c r="E1355" i="5"/>
  <c r="X1355" i="5" s="1"/>
  <c r="E1356" i="5"/>
  <c r="X1356" i="5" s="1"/>
  <c r="E1357" i="5"/>
  <c r="X1357" i="5" s="1"/>
  <c r="E1358" i="5"/>
  <c r="X1358" i="5" s="1"/>
  <c r="E1359" i="5"/>
  <c r="X1359" i="5" s="1"/>
  <c r="E1360" i="5"/>
  <c r="E1361" i="5"/>
  <c r="X1361" i="5" s="1"/>
  <c r="E1362" i="5"/>
  <c r="E1363" i="5"/>
  <c r="X1363" i="5" s="1"/>
  <c r="E1364" i="5"/>
  <c r="X1364" i="5" s="1"/>
  <c r="E1365" i="5"/>
  <c r="X1365" i="5" s="1"/>
  <c r="E1366" i="5"/>
  <c r="E1367" i="5"/>
  <c r="X1367" i="5" s="1"/>
  <c r="E1368" i="5"/>
  <c r="E1369" i="5"/>
  <c r="X1369" i="5" s="1"/>
  <c r="E1370" i="5"/>
  <c r="X1370" i="5" s="1"/>
  <c r="E1371" i="5"/>
  <c r="X1371" i="5" s="1"/>
  <c r="E1372" i="5"/>
  <c r="X1372" i="5" s="1"/>
  <c r="E1373" i="5"/>
  <c r="X1373" i="5" s="1"/>
  <c r="E1374" i="5"/>
  <c r="E1375" i="5"/>
  <c r="X1375" i="5" s="1"/>
  <c r="E1376" i="5"/>
  <c r="E1377" i="5"/>
  <c r="X1377" i="5" s="1"/>
  <c r="E1378" i="5"/>
  <c r="E1379" i="5"/>
  <c r="X1379" i="5" s="1"/>
  <c r="E1380" i="5"/>
  <c r="X1380" i="5" s="1"/>
  <c r="E1381" i="5"/>
  <c r="X1381" i="5" s="1"/>
  <c r="E1382" i="5"/>
  <c r="X1382" i="5" s="1"/>
  <c r="E1383" i="5"/>
  <c r="X1383" i="5" s="1"/>
  <c r="E1384" i="5"/>
  <c r="E1385" i="5"/>
  <c r="E1386" i="5"/>
  <c r="X1386" i="5" s="1"/>
  <c r="E1387" i="5"/>
  <c r="X1387" i="5" s="1"/>
  <c r="E1388" i="5"/>
  <c r="X1388" i="5" s="1"/>
  <c r="E1389" i="5"/>
  <c r="X1389" i="5" s="1"/>
  <c r="E1390" i="5"/>
  <c r="E1391" i="5"/>
  <c r="X1391" i="5" s="1"/>
  <c r="E1392" i="5"/>
  <c r="E1393" i="5"/>
  <c r="X1393" i="5" s="1"/>
  <c r="E1394" i="5"/>
  <c r="X1394" i="5" s="1"/>
  <c r="E1395" i="5"/>
  <c r="X1395" i="5" s="1"/>
  <c r="E1396" i="5"/>
  <c r="X1396" i="5" s="1"/>
  <c r="E1397" i="5"/>
  <c r="X1397" i="5" s="1"/>
  <c r="E1398" i="5"/>
  <c r="E1399" i="5"/>
  <c r="E1400" i="5"/>
  <c r="E1401" i="5"/>
  <c r="E1402" i="5"/>
  <c r="X1402" i="5" s="1"/>
  <c r="E1403" i="5"/>
  <c r="X1403" i="5" s="1"/>
  <c r="E1404" i="5"/>
  <c r="X1404" i="5" s="1"/>
  <c r="E1405" i="5"/>
  <c r="X1405" i="5" s="1"/>
  <c r="E1406" i="5"/>
  <c r="E1407" i="5"/>
  <c r="X1407" i="5" s="1"/>
  <c r="E1408" i="5"/>
  <c r="E1409" i="5"/>
  <c r="E1410" i="5"/>
  <c r="X1410" i="5" s="1"/>
  <c r="E1411" i="5"/>
  <c r="X1411" i="5" s="1"/>
  <c r="E1412" i="5"/>
  <c r="X1412" i="5" s="1"/>
  <c r="E1413" i="5"/>
  <c r="X1413" i="5" s="1"/>
  <c r="E1414" i="5"/>
  <c r="E1415" i="5"/>
  <c r="X1415" i="5" s="1"/>
  <c r="E1416" i="5"/>
  <c r="E1417" i="5"/>
  <c r="E1418" i="5"/>
  <c r="X1418" i="5" s="1"/>
  <c r="E1419" i="5"/>
  <c r="X1419" i="5" s="1"/>
  <c r="E1420" i="5"/>
  <c r="X1420" i="5" s="1"/>
  <c r="E1421" i="5"/>
  <c r="X1421" i="5" s="1"/>
  <c r="E1422" i="5"/>
  <c r="X1422" i="5" s="1"/>
  <c r="E1423" i="5"/>
  <c r="X1423" i="5" s="1"/>
  <c r="E1424" i="5"/>
  <c r="E1425" i="5"/>
  <c r="E1426" i="5"/>
  <c r="E1427" i="5"/>
  <c r="X1427" i="5" s="1"/>
  <c r="E1428" i="5"/>
  <c r="X1428" i="5" s="1"/>
  <c r="E1429" i="5"/>
  <c r="X1429" i="5" s="1"/>
  <c r="E1430" i="5"/>
  <c r="E1431" i="5"/>
  <c r="X1431" i="5" s="1"/>
  <c r="E1432" i="5"/>
  <c r="E1433" i="5"/>
  <c r="E1434" i="5"/>
  <c r="X1434" i="5" s="1"/>
  <c r="E1435" i="5"/>
  <c r="X1435" i="5" s="1"/>
  <c r="E1436" i="5"/>
  <c r="X1436" i="5" s="1"/>
  <c r="E1437" i="5"/>
  <c r="X1437" i="5" s="1"/>
  <c r="E1438" i="5"/>
  <c r="X1438" i="5" s="1"/>
  <c r="E1439" i="5"/>
  <c r="X1439" i="5" s="1"/>
  <c r="E1440" i="5"/>
  <c r="E1441" i="5"/>
  <c r="X1441" i="5" s="1"/>
  <c r="E1442" i="5"/>
  <c r="X1442" i="5" s="1"/>
  <c r="E1443" i="5"/>
  <c r="X1443" i="5" s="1"/>
  <c r="E1444" i="5"/>
  <c r="X1444" i="5" s="1"/>
  <c r="E1445" i="5"/>
  <c r="X1445" i="5" s="1"/>
  <c r="E1446" i="5"/>
  <c r="X1446" i="5" s="1"/>
  <c r="E1447" i="5"/>
  <c r="X1447" i="5" s="1"/>
  <c r="E1448" i="5"/>
  <c r="E1449" i="5"/>
  <c r="X1449" i="5" s="1"/>
  <c r="E1450" i="5"/>
  <c r="X1450" i="5" s="1"/>
  <c r="E1451" i="5"/>
  <c r="X1451" i="5" s="1"/>
  <c r="E1452" i="5"/>
  <c r="X1452" i="5" s="1"/>
  <c r="E1453" i="5"/>
  <c r="X1453" i="5" s="1"/>
  <c r="E1454" i="5"/>
  <c r="X1454" i="5" s="1"/>
  <c r="E1455" i="5"/>
  <c r="X1455" i="5" s="1"/>
  <c r="E1456" i="5"/>
  <c r="E1457" i="5"/>
  <c r="E1458" i="5"/>
  <c r="X1458" i="5" s="1"/>
  <c r="E1459" i="5"/>
  <c r="X1459" i="5" s="1"/>
  <c r="E1460" i="5"/>
  <c r="X1460" i="5" s="1"/>
  <c r="E1461" i="5"/>
  <c r="X1461" i="5" s="1"/>
  <c r="E1462" i="5"/>
  <c r="X1462" i="5" s="1"/>
  <c r="E1463" i="5"/>
  <c r="E1464" i="5"/>
  <c r="E1465" i="5"/>
  <c r="X1465" i="5" s="1"/>
  <c r="E1466" i="5"/>
  <c r="X1466" i="5" s="1"/>
  <c r="E1467" i="5"/>
  <c r="X1467" i="5" s="1"/>
  <c r="E1468" i="5"/>
  <c r="X1468" i="5" s="1"/>
  <c r="E1469" i="5"/>
  <c r="X1469" i="5" s="1"/>
  <c r="E1470" i="5"/>
  <c r="X1470" i="5" s="1"/>
  <c r="E1471" i="5"/>
  <c r="X1471" i="5" s="1"/>
  <c r="E1472" i="5"/>
  <c r="E1473" i="5"/>
  <c r="E1474" i="5"/>
  <c r="X1474" i="5" s="1"/>
  <c r="E1475" i="5"/>
  <c r="X1475" i="5" s="1"/>
  <c r="E1476" i="5"/>
  <c r="X1476" i="5" s="1"/>
  <c r="E1477" i="5"/>
  <c r="X1477" i="5" s="1"/>
  <c r="E1478" i="5"/>
  <c r="X1478" i="5" s="1"/>
  <c r="E1479" i="5"/>
  <c r="X1479" i="5" s="1"/>
  <c r="E1480" i="5"/>
  <c r="E1481" i="5"/>
  <c r="X1481" i="5" s="1"/>
  <c r="E1482" i="5"/>
  <c r="X1482" i="5" s="1"/>
  <c r="E1483" i="5"/>
  <c r="X1483" i="5" s="1"/>
  <c r="E1484" i="5"/>
  <c r="X1484" i="5" s="1"/>
  <c r="E1485" i="5"/>
  <c r="X1485" i="5" s="1"/>
  <c r="E1486" i="5"/>
  <c r="E1487" i="5"/>
  <c r="X1487" i="5" s="1"/>
  <c r="E1488" i="5"/>
  <c r="E1489" i="5"/>
  <c r="X1489" i="5" s="1"/>
  <c r="E1490" i="5"/>
  <c r="X1490" i="5" s="1"/>
  <c r="E1491" i="5"/>
  <c r="X1491" i="5" s="1"/>
  <c r="E1492" i="5"/>
  <c r="X1492" i="5" s="1"/>
  <c r="E1493" i="5"/>
  <c r="X1493" i="5" s="1"/>
  <c r="E1494" i="5"/>
  <c r="E1495" i="5"/>
  <c r="X1495" i="5" s="1"/>
  <c r="E1496" i="5"/>
  <c r="E1497" i="5"/>
  <c r="E1498" i="5"/>
  <c r="X1498" i="5" s="1"/>
  <c r="E1499" i="5"/>
  <c r="X1499" i="5" s="1"/>
  <c r="E1500" i="5"/>
  <c r="X1500" i="5" s="1"/>
  <c r="E1501" i="5"/>
  <c r="X1501" i="5" s="1"/>
  <c r="E1502" i="5"/>
  <c r="X1502" i="5" s="1"/>
  <c r="E1503" i="5"/>
  <c r="E1504" i="5"/>
  <c r="E1505" i="5"/>
  <c r="E1506" i="5"/>
  <c r="X1506" i="5" s="1"/>
  <c r="E1507" i="5"/>
  <c r="X1507" i="5" s="1"/>
  <c r="E1508" i="5"/>
  <c r="X1508" i="5" s="1"/>
  <c r="E1509" i="5"/>
  <c r="X1509" i="5" s="1"/>
  <c r="E1510" i="5"/>
  <c r="E1511" i="5"/>
  <c r="X1511" i="5" s="1"/>
  <c r="E1512" i="5"/>
  <c r="E1513" i="5"/>
  <c r="X1513" i="5" s="1"/>
  <c r="E1514" i="5"/>
  <c r="X1514" i="5" s="1"/>
  <c r="E1515" i="5"/>
  <c r="X1515" i="5" s="1"/>
  <c r="E1516" i="5"/>
  <c r="X1516" i="5" s="1"/>
  <c r="E1517" i="5"/>
  <c r="X1517" i="5" s="1"/>
  <c r="E1518" i="5"/>
  <c r="E1519" i="5"/>
  <c r="X1519" i="5" s="1"/>
  <c r="E1520" i="5"/>
  <c r="E1521" i="5"/>
  <c r="X1521" i="5" s="1"/>
  <c r="E1522" i="5"/>
  <c r="X1522" i="5" s="1"/>
  <c r="E1523" i="5"/>
  <c r="X1523" i="5" s="1"/>
  <c r="E1524" i="5"/>
  <c r="X1524" i="5" s="1"/>
  <c r="E1525" i="5"/>
  <c r="X1525" i="5" s="1"/>
  <c r="E1526" i="5"/>
  <c r="E1527" i="5"/>
  <c r="X1527" i="5" s="1"/>
  <c r="E1528" i="5"/>
  <c r="E1529" i="5"/>
  <c r="E1530" i="5"/>
  <c r="X1530" i="5" s="1"/>
  <c r="E1531" i="5"/>
  <c r="X1531" i="5" s="1"/>
  <c r="E1532" i="5"/>
  <c r="X1532" i="5" s="1"/>
  <c r="E1533" i="5"/>
  <c r="X1533" i="5" s="1"/>
  <c r="E1534" i="5"/>
  <c r="X1534" i="5" s="1"/>
  <c r="E1535" i="5"/>
  <c r="X1535" i="5" s="1"/>
  <c r="E1536" i="5"/>
  <c r="E1537" i="5"/>
  <c r="E1538" i="5"/>
  <c r="X1538" i="5" s="1"/>
  <c r="E1539" i="5"/>
  <c r="X1539" i="5" s="1"/>
  <c r="E1540" i="5"/>
  <c r="X1540" i="5" s="1"/>
  <c r="E1541" i="5"/>
  <c r="X1541" i="5" s="1"/>
  <c r="E1542" i="5"/>
  <c r="E1543" i="5"/>
  <c r="X1543" i="5" s="1"/>
  <c r="E1544" i="5"/>
  <c r="E1545" i="5"/>
  <c r="X1545" i="5" s="1"/>
  <c r="E1546" i="5"/>
  <c r="X1546" i="5" s="1"/>
  <c r="E1547" i="5"/>
  <c r="X1547" i="5" s="1"/>
  <c r="E1548" i="5"/>
  <c r="X1548" i="5" s="1"/>
  <c r="E1549" i="5"/>
  <c r="X1549" i="5" s="1"/>
  <c r="E1550" i="5"/>
  <c r="X1550" i="5" s="1"/>
  <c r="E1551" i="5"/>
  <c r="X1551" i="5" s="1"/>
  <c r="E1552" i="5"/>
  <c r="E1553" i="5"/>
  <c r="E1554" i="5"/>
  <c r="X1554" i="5" s="1"/>
  <c r="E1555" i="5"/>
  <c r="X1555" i="5" s="1"/>
  <c r="E1556" i="5"/>
  <c r="X1556" i="5" s="1"/>
  <c r="E1557" i="5"/>
  <c r="X1557" i="5" s="1"/>
  <c r="E1558" i="5"/>
  <c r="E1559" i="5"/>
  <c r="E1560" i="5"/>
  <c r="E1561" i="5"/>
  <c r="X1561" i="5" s="1"/>
  <c r="E1562" i="5"/>
  <c r="X1562" i="5" s="1"/>
  <c r="E1563" i="5"/>
  <c r="X1563" i="5" s="1"/>
  <c r="E1564" i="5"/>
  <c r="X1564" i="5" s="1"/>
  <c r="E1565" i="5"/>
  <c r="X1565" i="5" s="1"/>
  <c r="E1566" i="5"/>
  <c r="E1567" i="5"/>
  <c r="X1567" i="5" s="1"/>
  <c r="E1568" i="5"/>
  <c r="E1569" i="5"/>
  <c r="E1570" i="5"/>
  <c r="X1570" i="5" s="1"/>
  <c r="E1571" i="5"/>
  <c r="X1571" i="5" s="1"/>
  <c r="E1572" i="5"/>
  <c r="X1572" i="5" s="1"/>
  <c r="E1573" i="5"/>
  <c r="X1573" i="5" s="1"/>
  <c r="E1574" i="5"/>
  <c r="X1574" i="5" s="1"/>
  <c r="E1575" i="5"/>
  <c r="X1575" i="5" s="1"/>
  <c r="E1576" i="5"/>
  <c r="E1577" i="5"/>
  <c r="E1578" i="5"/>
  <c r="X1578" i="5" s="1"/>
  <c r="E1579" i="5"/>
  <c r="X1579" i="5" s="1"/>
  <c r="E1580" i="5"/>
  <c r="X1580" i="5" s="1"/>
  <c r="E1581" i="5"/>
  <c r="X1581" i="5" s="1"/>
  <c r="E1582" i="5"/>
  <c r="E1583" i="5"/>
  <c r="E1584" i="5"/>
  <c r="E1585" i="5"/>
  <c r="E1586" i="5"/>
  <c r="X1586" i="5" s="1"/>
  <c r="E1587" i="5"/>
  <c r="X1587" i="5" s="1"/>
  <c r="E1588" i="5"/>
  <c r="X1588" i="5" s="1"/>
  <c r="E1589" i="5"/>
  <c r="X1589" i="5" s="1"/>
  <c r="E1590" i="5"/>
  <c r="E1591" i="5"/>
  <c r="X1591" i="5" s="1"/>
  <c r="E1592" i="5"/>
  <c r="E1593" i="5"/>
  <c r="X1593" i="5" s="1"/>
  <c r="E1594" i="5"/>
  <c r="X1594" i="5" s="1"/>
  <c r="E1595" i="5"/>
  <c r="X1595" i="5" s="1"/>
  <c r="E1596" i="5"/>
  <c r="X1596" i="5" s="1"/>
  <c r="E1597" i="5"/>
  <c r="X1597" i="5" s="1"/>
  <c r="E1598" i="5"/>
  <c r="E1599" i="5"/>
  <c r="X1599" i="5" s="1"/>
  <c r="E1600" i="5"/>
  <c r="E1601" i="5"/>
  <c r="E1602" i="5"/>
  <c r="E1603" i="5"/>
  <c r="X1603" i="5" s="1"/>
  <c r="E1604" i="5"/>
  <c r="X1604" i="5" s="1"/>
  <c r="E1605" i="5"/>
  <c r="X1605" i="5" s="1"/>
  <c r="E1606" i="5"/>
  <c r="E1607" i="5"/>
  <c r="X1607" i="5" s="1"/>
  <c r="E1608" i="5"/>
  <c r="E1609" i="5"/>
  <c r="E1610" i="5"/>
  <c r="E1611" i="5"/>
  <c r="X1611" i="5" s="1"/>
  <c r="E1612" i="5"/>
  <c r="X1612" i="5" s="1"/>
  <c r="E1613" i="5"/>
  <c r="X1613" i="5" s="1"/>
  <c r="E1614" i="5"/>
  <c r="E1615" i="5"/>
  <c r="X1615" i="5" s="1"/>
  <c r="E1616" i="5"/>
  <c r="E1617" i="5"/>
  <c r="X1617" i="5" s="1"/>
  <c r="E1618" i="5"/>
  <c r="X1618" i="5" s="1"/>
  <c r="E1619" i="5"/>
  <c r="X1619" i="5" s="1"/>
  <c r="E1620" i="5"/>
  <c r="X1620" i="5" s="1"/>
  <c r="E1621" i="5"/>
  <c r="X1621" i="5" s="1"/>
  <c r="E1622" i="5"/>
  <c r="E1623" i="5"/>
  <c r="E1624" i="5"/>
  <c r="E1625" i="5"/>
  <c r="X1625" i="5" s="1"/>
  <c r="E1626" i="5"/>
  <c r="E1627" i="5"/>
  <c r="X1627" i="5" s="1"/>
  <c r="E1628" i="5"/>
  <c r="X1628" i="5" s="1"/>
  <c r="E1629" i="5"/>
  <c r="X1629" i="5" s="1"/>
  <c r="E1630" i="5"/>
  <c r="E1631" i="5"/>
  <c r="X1631" i="5" s="1"/>
  <c r="E1632" i="5"/>
  <c r="E1633" i="5"/>
  <c r="X1633" i="5" s="1"/>
  <c r="E1634" i="5"/>
  <c r="X1634" i="5" s="1"/>
  <c r="E1635" i="5"/>
  <c r="X1635" i="5" s="1"/>
  <c r="E1636" i="5"/>
  <c r="X1636" i="5" s="1"/>
  <c r="E1637" i="5"/>
  <c r="X1637" i="5" s="1"/>
  <c r="E1638" i="5"/>
  <c r="E1639" i="5"/>
  <c r="X1639" i="5" s="1"/>
  <c r="E1640" i="5"/>
  <c r="E1641" i="5"/>
  <c r="E1642" i="5"/>
  <c r="X1642" i="5" s="1"/>
  <c r="E1643" i="5"/>
  <c r="X1643" i="5" s="1"/>
  <c r="E1644" i="5"/>
  <c r="X1644" i="5" s="1"/>
  <c r="E1645" i="5"/>
  <c r="X1645" i="5" s="1"/>
  <c r="E1646" i="5"/>
  <c r="E1647" i="5"/>
  <c r="X1647" i="5" s="1"/>
  <c r="E1648" i="5"/>
  <c r="E1649" i="5"/>
  <c r="X1649" i="5" s="1"/>
  <c r="E1650" i="5"/>
  <c r="E1651" i="5"/>
  <c r="X1651" i="5" s="1"/>
  <c r="E1652" i="5"/>
  <c r="X1652" i="5" s="1"/>
  <c r="E1653" i="5"/>
  <c r="X1653" i="5" s="1"/>
  <c r="E1654" i="5"/>
  <c r="E1655" i="5"/>
  <c r="E1656" i="5"/>
  <c r="E1657" i="5"/>
  <c r="E1658" i="5"/>
  <c r="E1659" i="5"/>
  <c r="X1659" i="5" s="1"/>
  <c r="E1660" i="5"/>
  <c r="X1660" i="5" s="1"/>
  <c r="E1661" i="5"/>
  <c r="X1661" i="5" s="1"/>
  <c r="E1662" i="5"/>
  <c r="E1663" i="5"/>
  <c r="X1663" i="5" s="1"/>
  <c r="E1664" i="5"/>
  <c r="E1665" i="5"/>
  <c r="E1666" i="5"/>
  <c r="X1666" i="5" s="1"/>
  <c r="E1667" i="5"/>
  <c r="X1667" i="5" s="1"/>
  <c r="E1668" i="5"/>
  <c r="X1668" i="5" s="1"/>
  <c r="E1669" i="5"/>
  <c r="X1669" i="5" s="1"/>
  <c r="E1670" i="5"/>
  <c r="E1671" i="5"/>
  <c r="X1671" i="5" s="1"/>
  <c r="E1672" i="5"/>
  <c r="E1673" i="5"/>
  <c r="E1674" i="5"/>
  <c r="X1674" i="5" s="1"/>
  <c r="E1675" i="5"/>
  <c r="X1675" i="5" s="1"/>
  <c r="E1676" i="5"/>
  <c r="X1676" i="5" s="1"/>
  <c r="E1677" i="5"/>
  <c r="X1677" i="5" s="1"/>
  <c r="E1678" i="5"/>
  <c r="E1679" i="5"/>
  <c r="X1679" i="5" s="1"/>
  <c r="E1680" i="5"/>
  <c r="E1681" i="5"/>
  <c r="X1681" i="5" s="1"/>
  <c r="E1682" i="5"/>
  <c r="X1682" i="5" s="1"/>
  <c r="E1683" i="5"/>
  <c r="X1683" i="5" s="1"/>
  <c r="E1684" i="5"/>
  <c r="X1684" i="5" s="1"/>
  <c r="E1685" i="5"/>
  <c r="X1685" i="5" s="1"/>
  <c r="E1686" i="5"/>
  <c r="X1686" i="5" s="1"/>
  <c r="E1687" i="5"/>
  <c r="X1687" i="5" s="1"/>
  <c r="E1688" i="5"/>
  <c r="E1689" i="5"/>
  <c r="E1690" i="5"/>
  <c r="X1690" i="5" s="1"/>
  <c r="E1691" i="5"/>
  <c r="X1691" i="5" s="1"/>
  <c r="E1692" i="5"/>
  <c r="X1692" i="5" s="1"/>
  <c r="E1693" i="5"/>
  <c r="X1693" i="5" s="1"/>
  <c r="E1694" i="5"/>
  <c r="E1695" i="5"/>
  <c r="X1695" i="5" s="1"/>
  <c r="E1696" i="5"/>
  <c r="E1697" i="5"/>
  <c r="E1698" i="5"/>
  <c r="X1698" i="5" s="1"/>
  <c r="E1699" i="5"/>
  <c r="X1699" i="5" s="1"/>
  <c r="E1700" i="5"/>
  <c r="X1700" i="5" s="1"/>
  <c r="E1701" i="5"/>
  <c r="X1701" i="5" s="1"/>
  <c r="E1702" i="5"/>
  <c r="E1703" i="5"/>
  <c r="X1703" i="5" s="1"/>
  <c r="E1704" i="5"/>
  <c r="E1705" i="5"/>
  <c r="E1706" i="5"/>
  <c r="X1706" i="5" s="1"/>
  <c r="E1707" i="5"/>
  <c r="X1707" i="5" s="1"/>
  <c r="E1708" i="5"/>
  <c r="X1708" i="5" s="1"/>
  <c r="E1709" i="5"/>
  <c r="X1709" i="5" s="1"/>
  <c r="E1710" i="5"/>
  <c r="X1710" i="5" s="1"/>
  <c r="E1711" i="5"/>
  <c r="X1711" i="5" s="1"/>
  <c r="E1712" i="5"/>
  <c r="E1713" i="5"/>
  <c r="E1714" i="5"/>
  <c r="E1715" i="5"/>
  <c r="X1715" i="5" s="1"/>
  <c r="E1716" i="5"/>
  <c r="X1716" i="5" s="1"/>
  <c r="E1717" i="5"/>
  <c r="X1717" i="5" s="1"/>
  <c r="E1718" i="5"/>
  <c r="E1719" i="5"/>
  <c r="X1719" i="5" s="1"/>
  <c r="E1720" i="5"/>
  <c r="E1721" i="5"/>
  <c r="X1721" i="5" s="1"/>
  <c r="E1722" i="5"/>
  <c r="E1723" i="5"/>
  <c r="X1723" i="5" s="1"/>
  <c r="E1724" i="5"/>
  <c r="X1724" i="5" s="1"/>
  <c r="E1725" i="5"/>
  <c r="X1725" i="5" s="1"/>
  <c r="E1726" i="5"/>
  <c r="E1727" i="5"/>
  <c r="X1727" i="5" s="1"/>
  <c r="E1728" i="5"/>
  <c r="E1729" i="5"/>
  <c r="E1730" i="5"/>
  <c r="X1730" i="5" s="1"/>
  <c r="E1731" i="5"/>
  <c r="X1731" i="5" s="1"/>
  <c r="E1732" i="5"/>
  <c r="X1732" i="5" s="1"/>
  <c r="E1733" i="5"/>
  <c r="X1733" i="5" s="1"/>
  <c r="E1734" i="5"/>
  <c r="X1734" i="5" s="1"/>
  <c r="E1735" i="5"/>
  <c r="X1735" i="5" s="1"/>
  <c r="E1736" i="5"/>
  <c r="E1737" i="5"/>
  <c r="E1738" i="5"/>
  <c r="X1738" i="5" s="1"/>
  <c r="E1739" i="5"/>
  <c r="X1739" i="5" s="1"/>
  <c r="E1740" i="5"/>
  <c r="X1740" i="5" s="1"/>
  <c r="E1741" i="5"/>
  <c r="X1741" i="5" s="1"/>
  <c r="E1742" i="5"/>
  <c r="E1743" i="5"/>
  <c r="X1743" i="5" s="1"/>
  <c r="E1744" i="5"/>
  <c r="E1745" i="5"/>
  <c r="E1746" i="5"/>
  <c r="X1746" i="5" s="1"/>
  <c r="E1747" i="5"/>
  <c r="X1747" i="5" s="1"/>
  <c r="E1748" i="5"/>
  <c r="X1748" i="5" s="1"/>
  <c r="E1749" i="5"/>
  <c r="X1749" i="5" s="1"/>
  <c r="E1750" i="5"/>
  <c r="E1751" i="5"/>
  <c r="X1751" i="5" s="1"/>
  <c r="E1752" i="5"/>
  <c r="E1753" i="5"/>
  <c r="X1753" i="5" s="1"/>
  <c r="E1754" i="5"/>
  <c r="E1755" i="5"/>
  <c r="X1755" i="5" s="1"/>
  <c r="E1756" i="5"/>
  <c r="X1756" i="5" s="1"/>
  <c r="E1757" i="5"/>
  <c r="X1757" i="5" s="1"/>
  <c r="E1758" i="5"/>
  <c r="E1759" i="5"/>
  <c r="X1759" i="5" s="1"/>
  <c r="E1760" i="5"/>
  <c r="E1761" i="5"/>
  <c r="E1762" i="5"/>
  <c r="X1762" i="5" s="1"/>
  <c r="E1763" i="5"/>
  <c r="X1763" i="5" s="1"/>
  <c r="E1764" i="5"/>
  <c r="X1764" i="5" s="1"/>
  <c r="E1765" i="5"/>
  <c r="X1765" i="5" s="1"/>
  <c r="E1766" i="5"/>
  <c r="E1767" i="5"/>
  <c r="X1767" i="5" s="1"/>
  <c r="E1768" i="5"/>
  <c r="E1769" i="5"/>
  <c r="X1769" i="5" s="1"/>
  <c r="E1770" i="5"/>
  <c r="X1770" i="5" s="1"/>
  <c r="E1771" i="5"/>
  <c r="X1771" i="5" s="1"/>
  <c r="E1772" i="5"/>
  <c r="X1772" i="5" s="1"/>
  <c r="E1773" i="5"/>
  <c r="X1773" i="5" s="1"/>
  <c r="E1774" i="5"/>
  <c r="E1775" i="5"/>
  <c r="X1775" i="5" s="1"/>
  <c r="E1776" i="5"/>
  <c r="E1777" i="5"/>
  <c r="E1778" i="5"/>
  <c r="X1778" i="5" s="1"/>
  <c r="E1779" i="5"/>
  <c r="X1779" i="5" s="1"/>
  <c r="E1780" i="5"/>
  <c r="X1780" i="5" s="1"/>
  <c r="E1781" i="5"/>
  <c r="X1781" i="5" s="1"/>
  <c r="E1782" i="5"/>
  <c r="X1782" i="5" s="1"/>
  <c r="E1783" i="5"/>
  <c r="E1784" i="5"/>
  <c r="E1785" i="5"/>
  <c r="E1786" i="5"/>
  <c r="E1787" i="5"/>
  <c r="X1787" i="5" s="1"/>
  <c r="E1788" i="5"/>
  <c r="X1788" i="5" s="1"/>
  <c r="E1789" i="5"/>
  <c r="X1789" i="5" s="1"/>
  <c r="E1790" i="5"/>
  <c r="E1791" i="5"/>
  <c r="E1792" i="5"/>
  <c r="E1793" i="5"/>
  <c r="X1793" i="5" s="1"/>
  <c r="E1794" i="5"/>
  <c r="X1794" i="5" s="1"/>
  <c r="E1795" i="5"/>
  <c r="X1795" i="5" s="1"/>
  <c r="E1796" i="5"/>
  <c r="X1796" i="5" s="1"/>
  <c r="E1797" i="5"/>
  <c r="X1797" i="5" s="1"/>
  <c r="E1798" i="5"/>
  <c r="E1799" i="5"/>
  <c r="X1799" i="5" s="1"/>
  <c r="E1800" i="5"/>
  <c r="E1801" i="5"/>
  <c r="E1802" i="5"/>
  <c r="X1802" i="5" s="1"/>
  <c r="E1803" i="5"/>
  <c r="X1803" i="5" s="1"/>
  <c r="E1804" i="5"/>
  <c r="X1804" i="5" s="1"/>
  <c r="E1805" i="5"/>
  <c r="X1805" i="5" s="1"/>
  <c r="E1806" i="5"/>
  <c r="X1806" i="5" s="1"/>
  <c r="E1807" i="5"/>
  <c r="X1807" i="5" s="1"/>
  <c r="E1808" i="5"/>
  <c r="E1809" i="5"/>
  <c r="E1810" i="5"/>
  <c r="X1810" i="5" s="1"/>
  <c r="E1811" i="5"/>
  <c r="X1811" i="5" s="1"/>
  <c r="E1812" i="5"/>
  <c r="X1812" i="5" s="1"/>
  <c r="E1813" i="5"/>
  <c r="X1813" i="5" s="1"/>
  <c r="E1814" i="5"/>
  <c r="X1814" i="5" s="1"/>
  <c r="E1815" i="5"/>
  <c r="X1815" i="5" s="1"/>
  <c r="E1816" i="5"/>
  <c r="E1817" i="5"/>
  <c r="E1818" i="5"/>
  <c r="X1818" i="5" s="1"/>
  <c r="E1819" i="5"/>
  <c r="X1819" i="5" s="1"/>
  <c r="E1820" i="5"/>
  <c r="X1820" i="5" s="1"/>
  <c r="E1821" i="5"/>
  <c r="X1821" i="5" s="1"/>
  <c r="E1822" i="5"/>
  <c r="E1823" i="5"/>
  <c r="X1823" i="5" s="1"/>
  <c r="E1824" i="5"/>
  <c r="E1825" i="5"/>
  <c r="E1826" i="5"/>
  <c r="X1826" i="5" s="1"/>
  <c r="E1827" i="5"/>
  <c r="X1827" i="5" s="1"/>
  <c r="E1828" i="5"/>
  <c r="X1828" i="5" s="1"/>
  <c r="E1829" i="5"/>
  <c r="X1829" i="5" s="1"/>
  <c r="E1830" i="5"/>
  <c r="X1830" i="5" s="1"/>
  <c r="E1831" i="5"/>
  <c r="E1832" i="5"/>
  <c r="E1833" i="5"/>
  <c r="E1834" i="5"/>
  <c r="E1835" i="5"/>
  <c r="X1835" i="5" s="1"/>
  <c r="E1836" i="5"/>
  <c r="X1836" i="5" s="1"/>
  <c r="E1837" i="5"/>
  <c r="X1837" i="5" s="1"/>
  <c r="E1838" i="5"/>
  <c r="E1839" i="5"/>
  <c r="E1840" i="5"/>
  <c r="E1841" i="5"/>
  <c r="X1841" i="5" s="1"/>
  <c r="E1842" i="5"/>
  <c r="E1843" i="5"/>
  <c r="X1843" i="5" s="1"/>
  <c r="E1844" i="5"/>
  <c r="X1844" i="5" s="1"/>
  <c r="E1845" i="5"/>
  <c r="X1845" i="5" s="1"/>
  <c r="E1846" i="5"/>
  <c r="E1847" i="5"/>
  <c r="X1847" i="5" s="1"/>
  <c r="E1848" i="5"/>
  <c r="E1849" i="5"/>
  <c r="E1850" i="5"/>
  <c r="X1850" i="5" s="1"/>
  <c r="E1851" i="5"/>
  <c r="X1851" i="5" s="1"/>
  <c r="E1852" i="5"/>
  <c r="X1852" i="5" s="1"/>
  <c r="E1853" i="5"/>
  <c r="X1853" i="5" s="1"/>
  <c r="E1854" i="5"/>
  <c r="X1854" i="5" s="1"/>
  <c r="E1855" i="5"/>
  <c r="X1855" i="5" s="1"/>
  <c r="E1856" i="5"/>
  <c r="E1857" i="5"/>
  <c r="E1858" i="5"/>
  <c r="X1858" i="5" s="1"/>
  <c r="E1859" i="5"/>
  <c r="X1859" i="5" s="1"/>
  <c r="E1860" i="5"/>
  <c r="X1860" i="5" s="1"/>
  <c r="E1861" i="5"/>
  <c r="X1861" i="5" s="1"/>
  <c r="E1862" i="5"/>
  <c r="E1863" i="5"/>
  <c r="X1863" i="5" s="1"/>
  <c r="E1864" i="5"/>
  <c r="E1865" i="5"/>
  <c r="E1866" i="5"/>
  <c r="X1866" i="5" s="1"/>
  <c r="E1867" i="5"/>
  <c r="X1867" i="5" s="1"/>
  <c r="E1868" i="5"/>
  <c r="X1868" i="5" s="1"/>
  <c r="E1869" i="5"/>
  <c r="X1869" i="5" s="1"/>
  <c r="E1870" i="5"/>
  <c r="E1871" i="5"/>
  <c r="X1871" i="5" s="1"/>
  <c r="E1872" i="5"/>
  <c r="E1873" i="5"/>
  <c r="X1873" i="5" s="1"/>
  <c r="E1874" i="5"/>
  <c r="X1874" i="5" s="1"/>
  <c r="E1875" i="5"/>
  <c r="X1875" i="5" s="1"/>
  <c r="E1876" i="5"/>
  <c r="X1876" i="5" s="1"/>
  <c r="E1877" i="5"/>
  <c r="X1877" i="5" s="1"/>
  <c r="E1878" i="5"/>
  <c r="E1879" i="5"/>
  <c r="X1879" i="5" s="1"/>
  <c r="E1880" i="5"/>
  <c r="E1881" i="5"/>
  <c r="X1881" i="5" s="1"/>
  <c r="E1882" i="5"/>
  <c r="X1882" i="5" s="1"/>
  <c r="E1883" i="5"/>
  <c r="X1883" i="5" s="1"/>
  <c r="E1884" i="5"/>
  <c r="X1884" i="5" s="1"/>
  <c r="E1885" i="5"/>
  <c r="X1885" i="5" s="1"/>
  <c r="E1886" i="5"/>
  <c r="E1887" i="5"/>
  <c r="X1887" i="5" s="1"/>
  <c r="E1888" i="5"/>
  <c r="E1889" i="5"/>
  <c r="X1889" i="5" s="1"/>
  <c r="E1890" i="5"/>
  <c r="E1891" i="5"/>
  <c r="X1891" i="5" s="1"/>
  <c r="E1892" i="5"/>
  <c r="X1892" i="5" s="1"/>
  <c r="E1893" i="5"/>
  <c r="X1893" i="5" s="1"/>
  <c r="E1894" i="5"/>
  <c r="X1894" i="5" s="1"/>
  <c r="E1895" i="5"/>
  <c r="X1895" i="5" s="1"/>
  <c r="E1896" i="5"/>
  <c r="E1897" i="5"/>
  <c r="E1898" i="5"/>
  <c r="X1898" i="5" s="1"/>
  <c r="E1899" i="5"/>
  <c r="X1899" i="5" s="1"/>
  <c r="E1900" i="5"/>
  <c r="X1900" i="5" s="1"/>
  <c r="E1901" i="5"/>
  <c r="X1901" i="5" s="1"/>
  <c r="E1902" i="5"/>
  <c r="E1903" i="5"/>
  <c r="E1904" i="5"/>
  <c r="E1905" i="5"/>
  <c r="X1905" i="5" s="1"/>
  <c r="E1906" i="5"/>
  <c r="X1906" i="5" s="1"/>
  <c r="E1907" i="5"/>
  <c r="X1907" i="5" s="1"/>
  <c r="E1908" i="5"/>
  <c r="X1908" i="5" s="1"/>
  <c r="E1909" i="5"/>
  <c r="X1909" i="5" s="1"/>
  <c r="E1910" i="5"/>
  <c r="X1910" i="5" s="1"/>
  <c r="E1911" i="5"/>
  <c r="X1911" i="5" s="1"/>
  <c r="E1912" i="5"/>
  <c r="E1913" i="5"/>
  <c r="X1913" i="5" s="1"/>
  <c r="E1914" i="5"/>
  <c r="E1915" i="5"/>
  <c r="X1915" i="5" s="1"/>
  <c r="E1916" i="5"/>
  <c r="X1916" i="5" s="1"/>
  <c r="E1917" i="5"/>
  <c r="X1917" i="5" s="1"/>
  <c r="E1918" i="5"/>
  <c r="X1918" i="5" s="1"/>
  <c r="E1919" i="5"/>
  <c r="E1920" i="5"/>
  <c r="E1921" i="5"/>
  <c r="E1922" i="5"/>
  <c r="X1922" i="5" s="1"/>
  <c r="E1923" i="5"/>
  <c r="X1923" i="5" s="1"/>
  <c r="E1924" i="5"/>
  <c r="X1924" i="5" s="1"/>
  <c r="E1925" i="5"/>
  <c r="X1925" i="5" s="1"/>
  <c r="E1926" i="5"/>
  <c r="E1927" i="5"/>
  <c r="X1927" i="5" s="1"/>
  <c r="E1928" i="5"/>
  <c r="E1929" i="5"/>
  <c r="X1929" i="5" s="1"/>
  <c r="E1930" i="5"/>
  <c r="X1930" i="5" s="1"/>
  <c r="E1931" i="5"/>
  <c r="X1931" i="5" s="1"/>
  <c r="E1932" i="5"/>
  <c r="X1932" i="5" s="1"/>
  <c r="E1933" i="5"/>
  <c r="X1933" i="5" s="1"/>
  <c r="E1934" i="5"/>
  <c r="X1934" i="5" s="1"/>
  <c r="E1935" i="5"/>
  <c r="X1935" i="5" s="1"/>
  <c r="E1936" i="5"/>
  <c r="E1937" i="5"/>
  <c r="X1937" i="5" s="1"/>
  <c r="E1938" i="5"/>
  <c r="E1939" i="5"/>
  <c r="X1939" i="5" s="1"/>
  <c r="E1940" i="5"/>
  <c r="X1940" i="5" s="1"/>
  <c r="E1941" i="5"/>
  <c r="X1941" i="5" s="1"/>
  <c r="E1942" i="5"/>
  <c r="E1943" i="5"/>
  <c r="X1943" i="5" s="1"/>
  <c r="E1944" i="5"/>
  <c r="E1945" i="5"/>
  <c r="X1945" i="5" s="1"/>
  <c r="E1946" i="5"/>
  <c r="E1947" i="5"/>
  <c r="X1947" i="5" s="1"/>
  <c r="E1948" i="5"/>
  <c r="X1948" i="5" s="1"/>
  <c r="E1949" i="5"/>
  <c r="X1949" i="5" s="1"/>
  <c r="E1950" i="5"/>
  <c r="E1951" i="5"/>
  <c r="X1951" i="5" s="1"/>
  <c r="E1952" i="5"/>
  <c r="E1953" i="5"/>
  <c r="X1953" i="5" s="1"/>
  <c r="E1954" i="5"/>
  <c r="E1955" i="5"/>
  <c r="X1955" i="5" s="1"/>
  <c r="E1956" i="5"/>
  <c r="X1956" i="5" s="1"/>
  <c r="E1957" i="5"/>
  <c r="X1957" i="5" s="1"/>
  <c r="E1958" i="5"/>
  <c r="E1959" i="5"/>
  <c r="X1959" i="5" s="1"/>
  <c r="E1960" i="5"/>
  <c r="E1961" i="5"/>
  <c r="E1962" i="5"/>
  <c r="X1962" i="5" s="1"/>
  <c r="E1963" i="5"/>
  <c r="X1963" i="5" s="1"/>
  <c r="E1964" i="5"/>
  <c r="X1964" i="5" s="1"/>
  <c r="E1965" i="5"/>
  <c r="X1965" i="5" s="1"/>
  <c r="E1966" i="5"/>
  <c r="E1967" i="5"/>
  <c r="X1967" i="5" s="1"/>
  <c r="E1968" i="5"/>
  <c r="E1969" i="5"/>
  <c r="X1969" i="5" s="1"/>
  <c r="E1970" i="5"/>
  <c r="X1970" i="5" s="1"/>
  <c r="E1971" i="5"/>
  <c r="X1971" i="5" s="1"/>
  <c r="E1972" i="5"/>
  <c r="X1972" i="5" s="1"/>
  <c r="E1973" i="5"/>
  <c r="X1973" i="5" s="1"/>
  <c r="E1974" i="5"/>
  <c r="X1974" i="5" s="1"/>
  <c r="E1975" i="5"/>
  <c r="X1975" i="5" s="1"/>
  <c r="E1976" i="5"/>
  <c r="E1977" i="5"/>
  <c r="X1977" i="5" s="1"/>
  <c r="E1978" i="5"/>
  <c r="X1978" i="5" s="1"/>
  <c r="E1979" i="5"/>
  <c r="X1979" i="5" s="1"/>
  <c r="E1980" i="5"/>
  <c r="X1980" i="5" s="1"/>
  <c r="E1981" i="5"/>
  <c r="X1981" i="5" s="1"/>
  <c r="E1982" i="5"/>
  <c r="X1982" i="5" s="1"/>
  <c r="E1983" i="5"/>
  <c r="X1983" i="5" s="1"/>
  <c r="E1984" i="5"/>
  <c r="E1985" i="5"/>
  <c r="X1985" i="5" s="1"/>
  <c r="E1986" i="5"/>
  <c r="X1986" i="5" s="1"/>
  <c r="E1987" i="5"/>
  <c r="X1987" i="5" s="1"/>
  <c r="E1988" i="5"/>
  <c r="X1988" i="5" s="1"/>
  <c r="E1989" i="5"/>
  <c r="X1989" i="5" s="1"/>
  <c r="E1990" i="5"/>
  <c r="E1991" i="5"/>
  <c r="X1991" i="5" s="1"/>
  <c r="E1992" i="5"/>
  <c r="E1993" i="5"/>
  <c r="X1993" i="5" s="1"/>
  <c r="E1994" i="5"/>
  <c r="X1994" i="5" s="1"/>
  <c r="E1995" i="5"/>
  <c r="X1995" i="5" s="1"/>
  <c r="E1996" i="5"/>
  <c r="X1996" i="5" s="1"/>
  <c r="E1997" i="5"/>
  <c r="X1997" i="5" s="1"/>
  <c r="E1998" i="5"/>
  <c r="X1998" i="5" s="1"/>
  <c r="E1999" i="5"/>
  <c r="X1999" i="5" s="1"/>
  <c r="E2000" i="5"/>
  <c r="E2001" i="5"/>
  <c r="X2001" i="5" s="1"/>
  <c r="E2002" i="5"/>
  <c r="X2002" i="5" s="1"/>
  <c r="E2003" i="5"/>
  <c r="X2003" i="5" s="1"/>
  <c r="E2004" i="5"/>
  <c r="X2004" i="5" s="1"/>
  <c r="E2005" i="5"/>
  <c r="X2005" i="5" s="1"/>
  <c r="E2006" i="5"/>
  <c r="E2007" i="5"/>
  <c r="X2007" i="5" s="1"/>
  <c r="E2008" i="5"/>
  <c r="E2009" i="5"/>
  <c r="X2009" i="5" s="1"/>
  <c r="E2010" i="5"/>
  <c r="E2011" i="5"/>
  <c r="X2011" i="5" s="1"/>
  <c r="E2012" i="5"/>
  <c r="X2012" i="5" s="1"/>
  <c r="E2013" i="5"/>
  <c r="X2013" i="5" s="1"/>
  <c r="E2014" i="5"/>
  <c r="X2014" i="5" s="1"/>
  <c r="E2015" i="5"/>
  <c r="X2015" i="5" s="1"/>
  <c r="E2016" i="5"/>
  <c r="E2017" i="5"/>
  <c r="E2018" i="5"/>
  <c r="X2018" i="5" s="1"/>
  <c r="E2019" i="5"/>
  <c r="X2019" i="5" s="1"/>
  <c r="E2020" i="5"/>
  <c r="X2020" i="5" s="1"/>
  <c r="E2021" i="5"/>
  <c r="X2021" i="5" s="1"/>
  <c r="E2022" i="5"/>
  <c r="E2023" i="5"/>
  <c r="X2023" i="5" s="1"/>
  <c r="E2024" i="5"/>
  <c r="E2025" i="5"/>
  <c r="E2026" i="5"/>
  <c r="X2026" i="5" s="1"/>
  <c r="E2027" i="5"/>
  <c r="X2027" i="5" s="1"/>
  <c r="E2028" i="5"/>
  <c r="X2028" i="5" s="1"/>
  <c r="E2029" i="5"/>
  <c r="X2029" i="5" s="1"/>
  <c r="E2030" i="5"/>
  <c r="E2031" i="5"/>
  <c r="E2032" i="5"/>
  <c r="E2033" i="5"/>
  <c r="X2033" i="5" s="1"/>
  <c r="E2034" i="5"/>
  <c r="X2034" i="5" s="1"/>
  <c r="E2035" i="5"/>
  <c r="X2035" i="5" s="1"/>
  <c r="E2036" i="5"/>
  <c r="X2036" i="5" s="1"/>
  <c r="E2037" i="5"/>
  <c r="X2037" i="5" s="1"/>
  <c r="E2038" i="5"/>
  <c r="E2039" i="5"/>
  <c r="X2039" i="5" s="1"/>
  <c r="E2040" i="5"/>
  <c r="E2041" i="5"/>
  <c r="X2041" i="5" s="1"/>
  <c r="E2042" i="5"/>
  <c r="X2042" i="5" s="1"/>
  <c r="E2043" i="5"/>
  <c r="X2043" i="5" s="1"/>
  <c r="E2044" i="5"/>
  <c r="X2044" i="5" s="1"/>
  <c r="E2045" i="5"/>
  <c r="X2045" i="5" s="1"/>
  <c r="E2046" i="5"/>
  <c r="X2046" i="5" s="1"/>
  <c r="E2047" i="5"/>
  <c r="X2047" i="5" s="1"/>
  <c r="E2048" i="5"/>
  <c r="E2049" i="5"/>
  <c r="E2050" i="5"/>
  <c r="E2051" i="5"/>
  <c r="X2051" i="5" s="1"/>
  <c r="E2052" i="5"/>
  <c r="X2052" i="5" s="1"/>
  <c r="E2053" i="5"/>
  <c r="X2053" i="5" s="1"/>
  <c r="E2054" i="5"/>
  <c r="X2054" i="5" s="1"/>
  <c r="E2055" i="5"/>
  <c r="X2055" i="5" s="1"/>
  <c r="E2056" i="5"/>
  <c r="E2057" i="5"/>
  <c r="X2057" i="5" s="1"/>
  <c r="E2058" i="5"/>
  <c r="E2059" i="5"/>
  <c r="X2059" i="5" s="1"/>
  <c r="E2060" i="5"/>
  <c r="X2060" i="5" s="1"/>
  <c r="E2061" i="5"/>
  <c r="X2061" i="5" s="1"/>
  <c r="E2062" i="5"/>
  <c r="E2063" i="5"/>
  <c r="X2063" i="5" s="1"/>
  <c r="E2064" i="5"/>
  <c r="E2065" i="5"/>
  <c r="X2065" i="5" s="1"/>
  <c r="E2066" i="5"/>
  <c r="X2066" i="5" s="1"/>
  <c r="E2067" i="5"/>
  <c r="X2067" i="5" s="1"/>
  <c r="E2068" i="5"/>
  <c r="X2068" i="5" s="1"/>
  <c r="E2069" i="5"/>
  <c r="X2069" i="5" s="1"/>
  <c r="E2070" i="5"/>
  <c r="E2071" i="5"/>
  <c r="X2071" i="5" s="1"/>
  <c r="E2072" i="5"/>
  <c r="X2072" i="5" s="1"/>
  <c r="E2073" i="5"/>
  <c r="X2073" i="5" s="1"/>
  <c r="E2074" i="5"/>
  <c r="X2074" i="5" s="1"/>
  <c r="E2075" i="5"/>
  <c r="X2075" i="5" s="1"/>
  <c r="E2076" i="5"/>
  <c r="X2076" i="5" s="1"/>
  <c r="E2077" i="5"/>
  <c r="X2077" i="5" s="1"/>
  <c r="E2078" i="5"/>
  <c r="E2079" i="5"/>
  <c r="X2079" i="5" s="1"/>
  <c r="E2080" i="5"/>
  <c r="E2081" i="5"/>
  <c r="E2082" i="5"/>
  <c r="E2083" i="5"/>
  <c r="X2083" i="5" s="1"/>
  <c r="E2084" i="5"/>
  <c r="X2084" i="5" s="1"/>
  <c r="E2085" i="5"/>
  <c r="X2085" i="5" s="1"/>
  <c r="E2086" i="5"/>
  <c r="E2087" i="5"/>
  <c r="X2087" i="5" s="1"/>
  <c r="E2088" i="5"/>
  <c r="E2089" i="5"/>
  <c r="X2089" i="5" s="1"/>
  <c r="E2090" i="5"/>
  <c r="E2091" i="5"/>
  <c r="X2091" i="5" s="1"/>
  <c r="E2092" i="5"/>
  <c r="X2092" i="5" s="1"/>
  <c r="E2093" i="5"/>
  <c r="X2093" i="5" s="1"/>
  <c r="E2094" i="5"/>
  <c r="E2095" i="5"/>
  <c r="X2095" i="5" s="1"/>
  <c r="E2096" i="5"/>
  <c r="E2097" i="5"/>
  <c r="X2097" i="5" s="1"/>
  <c r="E2098" i="5"/>
  <c r="X2098" i="5" s="1"/>
  <c r="E2099" i="5"/>
  <c r="X2099" i="5" s="1"/>
  <c r="E2100" i="5"/>
  <c r="X2100" i="5" s="1"/>
  <c r="E2101" i="5"/>
  <c r="X2101" i="5" s="1"/>
  <c r="E2102" i="5"/>
  <c r="E2103" i="5"/>
  <c r="X2103" i="5" s="1"/>
  <c r="E2104" i="5"/>
  <c r="E2105" i="5"/>
  <c r="X2105" i="5" s="1"/>
  <c r="E2106" i="5"/>
  <c r="X2106" i="5" s="1"/>
  <c r="E2107" i="5"/>
  <c r="X2107" i="5" s="1"/>
  <c r="E2108" i="5"/>
  <c r="X2108" i="5" s="1"/>
  <c r="E2109" i="5"/>
  <c r="X2109" i="5" s="1"/>
  <c r="E2110" i="5"/>
  <c r="X2110" i="5" s="1"/>
  <c r="E2111" i="5"/>
  <c r="X2111" i="5" s="1"/>
  <c r="E2112" i="5"/>
  <c r="E2113" i="5"/>
  <c r="X2113" i="5" s="1"/>
  <c r="E2114" i="5"/>
  <c r="E2115" i="5"/>
  <c r="X2115" i="5" s="1"/>
  <c r="E2116" i="5"/>
  <c r="X2116" i="5" s="1"/>
  <c r="E2117" i="5"/>
  <c r="X2117" i="5" s="1"/>
  <c r="E2118" i="5"/>
  <c r="X2118" i="5" s="1"/>
  <c r="E2119" i="5"/>
  <c r="X2119" i="5" s="1"/>
  <c r="E2120" i="5"/>
  <c r="E2121" i="5"/>
  <c r="X2121" i="5" s="1"/>
  <c r="E2122" i="5"/>
  <c r="X2122" i="5" s="1"/>
  <c r="E2123" i="5"/>
  <c r="X2123" i="5" s="1"/>
  <c r="E2124" i="5"/>
  <c r="X2124" i="5" s="1"/>
  <c r="E2125" i="5"/>
  <c r="X2125" i="5" s="1"/>
  <c r="E2126" i="5"/>
  <c r="X2126" i="5" s="1"/>
  <c r="E2127" i="5"/>
  <c r="X2127" i="5" s="1"/>
  <c r="E2128" i="5"/>
  <c r="E2129" i="5"/>
  <c r="X2129" i="5" s="1"/>
  <c r="E2130" i="5"/>
  <c r="X2130" i="5" s="1"/>
  <c r="E2131" i="5"/>
  <c r="X2131" i="5" s="1"/>
  <c r="E2132" i="5"/>
  <c r="X2132" i="5" s="1"/>
  <c r="E2133" i="5"/>
  <c r="X2133" i="5" s="1"/>
  <c r="E2134" i="5"/>
  <c r="X2134" i="5" s="1"/>
  <c r="E2135" i="5"/>
  <c r="X2135" i="5" s="1"/>
  <c r="E2136" i="5"/>
  <c r="E2137" i="5"/>
  <c r="X2137" i="5" s="1"/>
  <c r="E2138" i="5"/>
  <c r="X2138" i="5" s="1"/>
  <c r="E2139" i="5"/>
  <c r="X2139" i="5" s="1"/>
  <c r="E2140" i="5"/>
  <c r="X2140" i="5" s="1"/>
  <c r="E2141" i="5"/>
  <c r="X2141" i="5" s="1"/>
  <c r="E2142" i="5"/>
  <c r="E2143" i="5"/>
  <c r="X2143" i="5" s="1"/>
  <c r="E2144" i="5"/>
  <c r="E2145" i="5"/>
  <c r="X2145" i="5" s="1"/>
  <c r="E2146" i="5"/>
  <c r="X2146" i="5" s="1"/>
  <c r="E2147" i="5"/>
  <c r="X2147" i="5" s="1"/>
  <c r="E2148" i="5"/>
  <c r="X2148" i="5" s="1"/>
  <c r="E2149" i="5"/>
  <c r="X2149" i="5" s="1"/>
  <c r="E2150" i="5"/>
  <c r="E2151" i="5"/>
  <c r="X2151" i="5" s="1"/>
  <c r="E2152" i="5"/>
  <c r="E2153" i="5"/>
  <c r="X2153" i="5" s="1"/>
  <c r="E2154" i="5"/>
  <c r="X2154" i="5" s="1"/>
  <c r="E2155" i="5"/>
  <c r="X2155" i="5" s="1"/>
  <c r="E2156" i="5"/>
  <c r="X2156" i="5" s="1"/>
  <c r="E2157" i="5"/>
  <c r="X2157" i="5" s="1"/>
  <c r="E2158" i="5"/>
  <c r="X2158" i="5" s="1"/>
  <c r="E2159" i="5"/>
  <c r="X2159" i="5" s="1"/>
  <c r="E2160" i="5"/>
  <c r="E2161" i="5"/>
  <c r="X2161" i="5" s="1"/>
  <c r="E2162" i="5"/>
  <c r="X2162" i="5" s="1"/>
  <c r="E2163" i="5"/>
  <c r="X2163" i="5" s="1"/>
  <c r="E2164" i="5"/>
  <c r="X2164" i="5" s="1"/>
  <c r="E2165" i="5"/>
  <c r="X2165" i="5" s="1"/>
  <c r="E2166" i="5"/>
  <c r="E2167" i="5"/>
  <c r="X2167" i="5" s="1"/>
  <c r="E2168" i="5"/>
  <c r="E2169" i="5"/>
  <c r="X2169" i="5" s="1"/>
  <c r="E2170" i="5"/>
  <c r="X2170" i="5" s="1"/>
  <c r="E2171" i="5"/>
  <c r="X2171" i="5" s="1"/>
  <c r="E2172" i="5"/>
  <c r="X2172" i="5" s="1"/>
  <c r="E2173" i="5"/>
  <c r="X2173" i="5" s="1"/>
  <c r="E2174" i="5"/>
  <c r="E2175" i="5"/>
  <c r="X2175" i="5" s="1"/>
  <c r="E2176" i="5"/>
  <c r="E2177" i="5"/>
  <c r="X2177" i="5" s="1"/>
  <c r="E2178" i="5"/>
  <c r="X2178" i="5" s="1"/>
  <c r="E2179" i="5"/>
  <c r="X2179" i="5" s="1"/>
  <c r="E2180" i="5"/>
  <c r="X2180" i="5" s="1"/>
  <c r="E2181" i="5"/>
  <c r="X2181" i="5" s="1"/>
  <c r="E2182" i="5"/>
  <c r="E2183" i="5"/>
  <c r="X2183" i="5" s="1"/>
  <c r="E2184" i="5"/>
  <c r="E2185" i="5"/>
  <c r="X2185" i="5" s="1"/>
  <c r="E2186" i="5"/>
  <c r="X2186" i="5" s="1"/>
  <c r="E2187" i="5"/>
  <c r="X2187" i="5" s="1"/>
  <c r="E2188" i="5"/>
  <c r="X2188" i="5" s="1"/>
  <c r="E2189" i="5"/>
  <c r="X2189" i="5" s="1"/>
  <c r="E2190" i="5"/>
  <c r="E2191" i="5"/>
  <c r="X2191" i="5" s="1"/>
  <c r="E2192" i="5"/>
  <c r="E2193" i="5"/>
  <c r="X2193" i="5" s="1"/>
  <c r="E2194" i="5"/>
  <c r="X2194" i="5" s="1"/>
  <c r="E2195" i="5"/>
  <c r="X2195" i="5" s="1"/>
  <c r="E2196" i="5"/>
  <c r="X2196" i="5" s="1"/>
  <c r="E2197" i="5"/>
  <c r="X2197" i="5" s="1"/>
  <c r="E2198" i="5"/>
  <c r="E2199" i="5"/>
  <c r="X2199" i="5" s="1"/>
  <c r="E2200" i="5"/>
  <c r="E2201" i="5"/>
  <c r="X2201" i="5" s="1"/>
  <c r="E2202" i="5"/>
  <c r="X2202" i="5" s="1"/>
  <c r="E2203" i="5"/>
  <c r="X2203" i="5" s="1"/>
  <c r="E2204" i="5"/>
  <c r="X2204" i="5" s="1"/>
  <c r="E2205" i="5"/>
  <c r="X2205" i="5" s="1"/>
  <c r="E2206" i="5"/>
  <c r="X2206" i="5" s="1"/>
  <c r="E2207" i="5"/>
  <c r="X2207" i="5" s="1"/>
  <c r="E2208" i="5"/>
  <c r="E2209" i="5"/>
  <c r="X2209" i="5" s="1"/>
  <c r="E2210" i="5"/>
  <c r="X2210" i="5" s="1"/>
  <c r="E2211" i="5"/>
  <c r="X2211" i="5" s="1"/>
  <c r="E2212" i="5"/>
  <c r="X2212" i="5" s="1"/>
  <c r="E2213" i="5"/>
  <c r="X2213" i="5" s="1"/>
  <c r="E2214" i="5"/>
  <c r="E2215" i="5"/>
  <c r="X2215" i="5" s="1"/>
  <c r="E2216" i="5"/>
  <c r="E2217" i="5"/>
  <c r="X2217" i="5" s="1"/>
  <c r="E2218" i="5"/>
  <c r="X2218" i="5" s="1"/>
  <c r="E2219" i="5"/>
  <c r="X2219" i="5" s="1"/>
  <c r="E2220" i="5"/>
  <c r="X2220" i="5" s="1"/>
  <c r="E2221" i="5"/>
  <c r="X2221" i="5" s="1"/>
  <c r="E2222" i="5"/>
  <c r="E2223" i="5"/>
  <c r="X2223" i="5" s="1"/>
  <c r="E2224" i="5"/>
  <c r="E2225" i="5"/>
  <c r="E2226" i="5"/>
  <c r="X2226" i="5" s="1"/>
  <c r="E2227" i="5"/>
  <c r="X2227" i="5" s="1"/>
  <c r="E2228" i="5"/>
  <c r="X2228" i="5" s="1"/>
  <c r="E2229" i="5"/>
  <c r="X2229" i="5" s="1"/>
  <c r="E2230" i="5"/>
  <c r="E2231" i="5"/>
  <c r="X2231" i="5" s="1"/>
  <c r="E2232" i="5"/>
  <c r="E2233" i="5"/>
  <c r="X2233" i="5" s="1"/>
  <c r="E2234" i="5"/>
  <c r="X2234" i="5" s="1"/>
  <c r="E2235" i="5"/>
  <c r="X2235" i="5" s="1"/>
  <c r="E2236" i="5"/>
  <c r="X2236" i="5" s="1"/>
  <c r="E2237" i="5"/>
  <c r="X2237" i="5" s="1"/>
  <c r="E2238" i="5"/>
  <c r="E2239" i="5"/>
  <c r="X2239" i="5" s="1"/>
  <c r="E2240" i="5"/>
  <c r="E2241" i="5"/>
  <c r="X2241" i="5" s="1"/>
  <c r="E2242" i="5"/>
  <c r="E2243" i="5"/>
  <c r="X2243" i="5" s="1"/>
  <c r="E2244" i="5"/>
  <c r="X2244" i="5" s="1"/>
  <c r="E2245" i="5"/>
  <c r="X2245" i="5" s="1"/>
  <c r="E2246" i="5"/>
  <c r="E2247" i="5"/>
  <c r="X2247" i="5" s="1"/>
  <c r="E2248" i="5"/>
  <c r="E2249" i="5"/>
  <c r="X2249" i="5" s="1"/>
  <c r="E2250" i="5"/>
  <c r="E2251" i="5"/>
  <c r="X2251" i="5" s="1"/>
  <c r="E2252" i="5"/>
  <c r="X2252" i="5" s="1"/>
  <c r="E2253" i="5"/>
  <c r="X2253" i="5" s="1"/>
  <c r="E2254" i="5"/>
  <c r="E2255" i="5"/>
  <c r="X2255" i="5" s="1"/>
  <c r="E2256" i="5"/>
  <c r="E2257" i="5"/>
  <c r="E2258" i="5"/>
  <c r="X2258" i="5" s="1"/>
  <c r="E2259" i="5"/>
  <c r="X2259" i="5" s="1"/>
  <c r="E2260" i="5"/>
  <c r="X2260" i="5" s="1"/>
  <c r="E2261" i="5"/>
  <c r="X2261" i="5" s="1"/>
  <c r="E2262" i="5"/>
  <c r="E2263" i="5"/>
  <c r="X2263" i="5" s="1"/>
  <c r="E2264" i="5"/>
  <c r="E2265" i="5"/>
  <c r="E2266" i="5"/>
  <c r="E2267" i="5"/>
  <c r="X2267" i="5" s="1"/>
  <c r="E2268" i="5"/>
  <c r="X2268" i="5" s="1"/>
  <c r="E2269" i="5"/>
  <c r="X2269" i="5" s="1"/>
  <c r="E2270" i="5"/>
  <c r="X2270" i="5" s="1"/>
  <c r="E2271" i="5"/>
  <c r="X2271" i="5" s="1"/>
  <c r="E2272" i="5"/>
  <c r="E2273" i="5"/>
  <c r="X2273" i="5" s="1"/>
  <c r="E2274" i="5"/>
  <c r="X2274" i="5" s="1"/>
  <c r="E2275" i="5"/>
  <c r="X2275" i="5" s="1"/>
  <c r="E2276" i="5"/>
  <c r="X2276" i="5" s="1"/>
  <c r="E2277" i="5"/>
  <c r="X2277" i="5" s="1"/>
  <c r="E2278" i="5"/>
  <c r="X2278" i="5" s="1"/>
  <c r="E2279" i="5"/>
  <c r="X2279" i="5" s="1"/>
  <c r="E2280" i="5"/>
  <c r="E2281" i="5"/>
  <c r="E2282" i="5"/>
  <c r="X2282" i="5" s="1"/>
  <c r="E2283" i="5"/>
  <c r="X2283" i="5" s="1"/>
  <c r="E2284" i="5"/>
  <c r="X2284" i="5" s="1"/>
  <c r="E2285" i="5"/>
  <c r="X2285" i="5" s="1"/>
  <c r="E2286" i="5"/>
  <c r="E2287" i="5"/>
  <c r="X2287" i="5" s="1"/>
  <c r="E2288" i="5"/>
  <c r="E2289" i="5"/>
  <c r="X2289" i="5" s="1"/>
  <c r="E2290" i="5"/>
  <c r="E2291" i="5"/>
  <c r="X2291" i="5" s="1"/>
  <c r="E2292" i="5"/>
  <c r="X2292" i="5" s="1"/>
  <c r="E2293" i="5"/>
  <c r="X2293" i="5" s="1"/>
  <c r="E2294" i="5"/>
  <c r="X2294" i="5" s="1"/>
  <c r="E2295" i="5"/>
  <c r="X2295" i="5" s="1"/>
  <c r="E2296" i="5"/>
  <c r="E2297" i="5"/>
  <c r="X2297" i="5" s="1"/>
  <c r="E2298" i="5"/>
  <c r="X2298" i="5" s="1"/>
  <c r="E2299" i="5"/>
  <c r="X2299" i="5" s="1"/>
  <c r="E2300" i="5"/>
  <c r="X2300" i="5" s="1"/>
  <c r="E2301" i="5"/>
  <c r="X2301" i="5" s="1"/>
  <c r="E2302" i="5"/>
  <c r="X2302" i="5" s="1"/>
  <c r="E2303" i="5"/>
  <c r="X2303" i="5" s="1"/>
  <c r="E2304" i="5"/>
  <c r="E2305" i="5"/>
  <c r="X2305" i="5" s="1"/>
  <c r="E2306" i="5"/>
  <c r="X2306" i="5" s="1"/>
  <c r="E2307" i="5"/>
  <c r="X2307" i="5" s="1"/>
  <c r="E2308" i="5"/>
  <c r="X2308" i="5" s="1"/>
  <c r="E2309" i="5"/>
  <c r="X2309" i="5" s="1"/>
  <c r="E2310" i="5"/>
  <c r="E2311" i="5"/>
  <c r="X2311" i="5" s="1"/>
  <c r="E2312" i="5"/>
  <c r="E2313" i="5"/>
  <c r="X2313" i="5" s="1"/>
  <c r="E2314" i="5"/>
  <c r="X2314" i="5" s="1"/>
  <c r="E2315" i="5"/>
  <c r="X2315" i="5" s="1"/>
  <c r="E2316" i="5"/>
  <c r="X2316" i="5" s="1"/>
  <c r="E2317" i="5"/>
  <c r="X2317" i="5" s="1"/>
  <c r="E2318" i="5"/>
  <c r="E2319" i="5"/>
  <c r="X2319" i="5" s="1"/>
  <c r="E2320" i="5"/>
  <c r="E2321" i="5"/>
  <c r="X2321" i="5" s="1"/>
  <c r="E2322" i="5"/>
  <c r="E2323" i="5"/>
  <c r="X2323" i="5" s="1"/>
  <c r="E2324" i="5"/>
  <c r="X2324" i="5" s="1"/>
  <c r="E2325" i="5"/>
  <c r="X2325" i="5" s="1"/>
  <c r="E2326" i="5"/>
  <c r="E2327" i="5"/>
  <c r="X2327" i="5" s="1"/>
  <c r="E2328" i="5"/>
  <c r="E2329" i="5"/>
  <c r="X2329" i="5" s="1"/>
  <c r="E2330" i="5"/>
  <c r="X2330" i="5" s="1"/>
  <c r="E2331" i="5"/>
  <c r="X2331" i="5" s="1"/>
  <c r="E2332" i="5"/>
  <c r="X2332" i="5" s="1"/>
  <c r="E2333" i="5"/>
  <c r="X2333" i="5" s="1"/>
  <c r="E2334" i="5"/>
  <c r="E2335" i="5"/>
  <c r="E2336" i="5"/>
  <c r="E2337" i="5"/>
  <c r="X2337" i="5" s="1"/>
  <c r="E2338" i="5"/>
  <c r="X2338" i="5" s="1"/>
  <c r="E2339" i="5"/>
  <c r="X2339" i="5" s="1"/>
  <c r="E2340" i="5"/>
  <c r="X2340" i="5" s="1"/>
  <c r="E2341" i="5"/>
  <c r="X2341" i="5" s="1"/>
  <c r="E2342" i="5"/>
  <c r="X2342" i="5" s="1"/>
  <c r="E2343" i="5"/>
  <c r="X2343" i="5" s="1"/>
  <c r="E2344" i="5"/>
  <c r="E2345" i="5"/>
  <c r="E2346" i="5"/>
  <c r="X2346" i="5" s="1"/>
  <c r="E2347" i="5"/>
  <c r="X2347" i="5" s="1"/>
  <c r="E2348" i="5"/>
  <c r="X2348" i="5" s="1"/>
  <c r="E2349" i="5"/>
  <c r="X2349" i="5" s="1"/>
  <c r="E2350" i="5"/>
  <c r="E2351" i="5"/>
  <c r="X2351" i="5" s="1"/>
  <c r="E2352" i="5"/>
  <c r="E2353" i="5"/>
  <c r="X2353" i="5" s="1"/>
  <c r="E2354" i="5"/>
  <c r="X2354" i="5" s="1"/>
  <c r="E2355" i="5"/>
  <c r="X2355" i="5" s="1"/>
  <c r="E2356" i="5"/>
  <c r="X2356" i="5" s="1"/>
  <c r="E2357" i="5"/>
  <c r="X2357" i="5" s="1"/>
  <c r="E2358" i="5"/>
  <c r="X2358" i="5" s="1"/>
  <c r="E2359" i="5"/>
  <c r="X2359" i="5" s="1"/>
  <c r="E2360" i="5"/>
  <c r="E2361" i="5"/>
  <c r="E2362" i="5"/>
  <c r="X2362" i="5" s="1"/>
  <c r="E2363" i="5"/>
  <c r="X2363" i="5" s="1"/>
  <c r="E2364" i="5"/>
  <c r="X2364" i="5" s="1"/>
  <c r="E2365" i="5"/>
  <c r="X2365" i="5" s="1"/>
  <c r="E2366" i="5"/>
  <c r="E2367" i="5"/>
  <c r="X2367" i="5" s="1"/>
  <c r="E2368" i="5"/>
  <c r="E2369" i="5"/>
  <c r="E2370" i="5"/>
  <c r="X2370" i="5" s="1"/>
  <c r="E2371" i="5"/>
  <c r="X2371" i="5" s="1"/>
  <c r="E2372" i="5"/>
  <c r="X2372" i="5" s="1"/>
  <c r="E2373" i="5"/>
  <c r="X2373" i="5" s="1"/>
  <c r="E2374" i="5"/>
  <c r="E2375" i="5"/>
  <c r="X2375" i="5" s="1"/>
  <c r="E2376" i="5"/>
  <c r="E2377" i="5"/>
  <c r="X2377" i="5" s="1"/>
  <c r="E2378" i="5"/>
  <c r="E2379" i="5"/>
  <c r="X2379" i="5" s="1"/>
  <c r="E2380" i="5"/>
  <c r="X2380" i="5" s="1"/>
  <c r="E2381" i="5"/>
  <c r="X2381" i="5" s="1"/>
  <c r="E2382" i="5"/>
  <c r="X2382" i="5" s="1"/>
  <c r="E2383" i="5"/>
  <c r="X2383" i="5" s="1"/>
  <c r="E2384" i="5"/>
  <c r="E2385" i="5"/>
  <c r="X2385" i="5" s="1"/>
  <c r="E2386" i="5"/>
  <c r="X2386" i="5" s="1"/>
  <c r="E2387" i="5"/>
  <c r="X2387" i="5" s="1"/>
  <c r="E2388" i="5"/>
  <c r="X2388" i="5" s="1"/>
  <c r="E2389" i="5"/>
  <c r="X2389" i="5" s="1"/>
  <c r="E2390" i="5"/>
  <c r="X2390" i="5" s="1"/>
  <c r="E2391" i="5"/>
  <c r="X2391" i="5" s="1"/>
  <c r="E2392" i="5"/>
  <c r="E2393" i="5"/>
  <c r="X2393" i="5" s="1"/>
  <c r="E2394" i="5"/>
  <c r="X2394" i="5" s="1"/>
  <c r="E2395" i="5"/>
  <c r="X2395" i="5" s="1"/>
  <c r="E2396" i="5"/>
  <c r="X2396" i="5" s="1"/>
  <c r="E2397" i="5"/>
  <c r="X2397" i="5" s="1"/>
  <c r="E2398" i="5"/>
  <c r="X2398" i="5" s="1"/>
  <c r="E2399" i="5"/>
  <c r="X2399" i="5" s="1"/>
  <c r="E2400" i="5"/>
  <c r="E2401" i="5"/>
  <c r="X2401" i="5" s="1"/>
  <c r="E2402" i="5"/>
  <c r="X2402" i="5" s="1"/>
  <c r="E2403" i="5"/>
  <c r="X2403" i="5" s="1"/>
  <c r="E2404" i="5"/>
  <c r="X2404" i="5" s="1"/>
  <c r="E2405" i="5"/>
  <c r="X2405" i="5" s="1"/>
  <c r="E2406" i="5"/>
  <c r="X2406" i="5" s="1"/>
  <c r="E2407" i="5"/>
  <c r="E2408" i="5"/>
  <c r="E2409" i="5"/>
  <c r="X2409" i="5" s="1"/>
  <c r="E2410" i="5"/>
  <c r="E2411" i="5"/>
  <c r="X2411" i="5" s="1"/>
  <c r="E2412" i="5"/>
  <c r="X2412" i="5" s="1"/>
  <c r="E2413" i="5"/>
  <c r="X2413" i="5" s="1"/>
  <c r="E2414" i="5"/>
  <c r="E2415" i="5"/>
  <c r="X2415" i="5" s="1"/>
  <c r="E2416" i="5"/>
  <c r="E2417" i="5"/>
  <c r="X2417" i="5" s="1"/>
  <c r="E2418" i="5"/>
  <c r="E2419" i="5"/>
  <c r="X2419" i="5" s="1"/>
  <c r="E2420" i="5"/>
  <c r="X2420" i="5" s="1"/>
  <c r="E2421" i="5"/>
  <c r="X2421" i="5" s="1"/>
  <c r="E2422" i="5"/>
  <c r="E2423" i="5"/>
  <c r="E2424" i="5"/>
  <c r="E2425" i="5"/>
  <c r="X2425" i="5" s="1"/>
  <c r="E2426" i="5"/>
  <c r="X2426" i="5" s="1"/>
  <c r="E2427" i="5"/>
  <c r="X2427" i="5" s="1"/>
  <c r="E2428" i="5"/>
  <c r="X2428" i="5" s="1"/>
  <c r="E2429" i="5"/>
  <c r="X2429" i="5" s="1"/>
  <c r="E2430" i="5"/>
  <c r="X2430" i="5" s="1"/>
  <c r="E2431" i="5"/>
  <c r="X2431" i="5" s="1"/>
  <c r="E2432" i="5"/>
  <c r="E2433" i="5"/>
  <c r="X2433" i="5" s="1"/>
  <c r="E2434" i="5"/>
  <c r="E2435" i="5"/>
  <c r="X2435" i="5" s="1"/>
  <c r="E2436" i="5"/>
  <c r="X2436" i="5" s="1"/>
  <c r="E2437" i="5"/>
  <c r="X2437" i="5" s="1"/>
  <c r="E2438" i="5"/>
  <c r="X2438" i="5" s="1"/>
  <c r="E2439" i="5"/>
  <c r="X2439" i="5" s="1"/>
  <c r="E2440" i="5"/>
  <c r="E2441" i="5"/>
  <c r="X2441" i="5" s="1"/>
  <c r="E2442" i="5"/>
  <c r="X2442" i="5" s="1"/>
  <c r="E2443" i="5"/>
  <c r="X2443" i="5" s="1"/>
  <c r="E2444" i="5"/>
  <c r="X2444" i="5" s="1"/>
  <c r="E2445" i="5"/>
  <c r="X2445" i="5" s="1"/>
  <c r="E2446" i="5"/>
  <c r="E2447" i="5"/>
  <c r="X2447" i="5" s="1"/>
  <c r="E2448" i="5"/>
  <c r="E2449" i="5"/>
  <c r="X2449" i="5" s="1"/>
  <c r="E2450" i="5"/>
  <c r="X2450" i="5" s="1"/>
  <c r="E2451" i="5"/>
  <c r="X2451" i="5" s="1"/>
  <c r="E2452" i="5"/>
  <c r="X2452" i="5" s="1"/>
  <c r="E2453" i="5"/>
  <c r="X2453" i="5" s="1"/>
  <c r="E2454" i="5"/>
  <c r="X2454" i="5" s="1"/>
  <c r="E2455" i="5"/>
  <c r="E2456" i="5"/>
  <c r="E2457" i="5"/>
  <c r="X2457" i="5" s="1"/>
  <c r="E2458" i="5"/>
  <c r="X2458" i="5" s="1"/>
  <c r="E2459" i="5"/>
  <c r="X2459" i="5" s="1"/>
  <c r="E2460" i="5"/>
  <c r="X2460" i="5" s="1"/>
  <c r="E2461" i="5"/>
  <c r="X2461" i="5" s="1"/>
  <c r="E2462" i="5"/>
  <c r="X2462" i="5" s="1"/>
  <c r="E2463" i="5"/>
  <c r="X2463" i="5" s="1"/>
  <c r="E2464" i="5"/>
  <c r="E2465" i="5"/>
  <c r="E2466" i="5"/>
  <c r="X2466" i="5" s="1"/>
  <c r="E2467" i="5"/>
  <c r="X2467" i="5" s="1"/>
  <c r="E2468" i="5"/>
  <c r="X2468" i="5" s="1"/>
  <c r="E2469" i="5"/>
  <c r="X2469" i="5" s="1"/>
  <c r="E2470" i="5"/>
  <c r="E2471" i="5"/>
  <c r="X2471" i="5" s="1"/>
  <c r="E2472" i="5"/>
  <c r="E2473" i="5"/>
  <c r="X2473" i="5" s="1"/>
  <c r="E2474" i="5"/>
  <c r="X2474" i="5" s="1"/>
  <c r="E2475" i="5"/>
  <c r="X2475" i="5" s="1"/>
  <c r="E2476" i="5"/>
  <c r="X2476" i="5" s="1"/>
  <c r="E2477" i="5"/>
  <c r="X2477" i="5" s="1"/>
  <c r="E2478" i="5"/>
  <c r="X2478" i="5" s="1"/>
  <c r="E2479" i="5"/>
  <c r="X2479" i="5" s="1"/>
  <c r="E2480" i="5"/>
  <c r="E2481" i="5"/>
  <c r="E2482" i="5"/>
  <c r="X2482" i="5" s="1"/>
  <c r="E2483" i="5"/>
  <c r="X2483" i="5" s="1"/>
  <c r="E2484" i="5"/>
  <c r="X2484" i="5" s="1"/>
  <c r="E2485" i="5"/>
  <c r="X2485" i="5" s="1"/>
  <c r="E2486" i="5"/>
  <c r="E2487" i="5"/>
  <c r="X2487" i="5" s="1"/>
  <c r="E2488" i="5"/>
  <c r="E2489" i="5"/>
  <c r="X2489" i="5" s="1"/>
  <c r="E2490" i="5"/>
  <c r="X2490" i="5" s="1"/>
  <c r="E2491" i="5"/>
  <c r="X2491" i="5" s="1"/>
  <c r="E2492" i="5"/>
  <c r="X2492" i="5" s="1"/>
  <c r="E2493" i="5"/>
  <c r="E2494" i="5"/>
  <c r="E2495" i="5"/>
  <c r="E2496" i="5"/>
  <c r="E2497" i="5"/>
  <c r="E2498" i="5"/>
  <c r="E2499" i="5"/>
  <c r="E2500" i="5"/>
  <c r="E2501" i="5"/>
  <c r="E2502" i="5"/>
  <c r="E2503" i="5"/>
  <c r="E2504" i="5"/>
  <c r="V6"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V7" i="5"/>
  <c r="V8" i="5"/>
  <c r="V9" i="5"/>
  <c r="V10" i="5"/>
  <c r="V11" i="5"/>
  <c r="V12" i="5"/>
  <c r="V13" i="5"/>
  <c r="V14" i="5"/>
  <c r="V15" i="5"/>
  <c r="V16" i="5"/>
  <c r="V17" i="5"/>
  <c r="V18" i="5"/>
  <c r="V19" i="5"/>
  <c r="V20" i="5"/>
  <c r="V21" i="5"/>
  <c r="R21" i="5" s="1"/>
  <c r="V22" i="5"/>
  <c r="V23" i="5"/>
  <c r="V24" i="5"/>
  <c r="V25" i="5"/>
  <c r="V26" i="5"/>
  <c r="V27" i="5"/>
  <c r="V28" i="5"/>
  <c r="V29" i="5"/>
  <c r="R29" i="5" s="1"/>
  <c r="V30" i="5"/>
  <c r="V31" i="5"/>
  <c r="V32" i="5"/>
  <c r="R32" i="5" s="1"/>
  <c r="V33" i="5"/>
  <c r="V34" i="5"/>
  <c r="V35" i="5"/>
  <c r="V36" i="5"/>
  <c r="V37" i="5"/>
  <c r="R37" i="5" s="1"/>
  <c r="V38" i="5"/>
  <c r="V39" i="5"/>
  <c r="V40" i="5"/>
  <c r="R40" i="5" s="1"/>
  <c r="V41" i="5"/>
  <c r="V42" i="5"/>
  <c r="V43" i="5"/>
  <c r="V44" i="5"/>
  <c r="V45" i="5"/>
  <c r="R45" i="5" s="1"/>
  <c r="V46" i="5"/>
  <c r="V47" i="5"/>
  <c r="V48" i="5"/>
  <c r="V49" i="5"/>
  <c r="V50" i="5"/>
  <c r="V51" i="5"/>
  <c r="V52" i="5"/>
  <c r="V53" i="5"/>
  <c r="R53" i="5" s="1"/>
  <c r="V54" i="5"/>
  <c r="V55" i="5"/>
  <c r="V56" i="5"/>
  <c r="V57" i="5"/>
  <c r="V58" i="5"/>
  <c r="V59" i="5"/>
  <c r="V60" i="5"/>
  <c r="V61" i="5"/>
  <c r="R61" i="5" s="1"/>
  <c r="V62" i="5"/>
  <c r="V63" i="5"/>
  <c r="V64" i="5"/>
  <c r="V65" i="5"/>
  <c r="V66" i="5"/>
  <c r="V67" i="5"/>
  <c r="V68" i="5"/>
  <c r="V69" i="5"/>
  <c r="R69" i="5" s="1"/>
  <c r="V70" i="5"/>
  <c r="V71" i="5"/>
  <c r="V72" i="5"/>
  <c r="V73" i="5"/>
  <c r="V74" i="5"/>
  <c r="V75" i="5"/>
  <c r="V76" i="5"/>
  <c r="V77" i="5"/>
  <c r="R77" i="5" s="1"/>
  <c r="V78" i="5"/>
  <c r="V79" i="5"/>
  <c r="V80" i="5"/>
  <c r="V81" i="5"/>
  <c r="V82" i="5"/>
  <c r="V83" i="5"/>
  <c r="V84" i="5"/>
  <c r="V85" i="5"/>
  <c r="R85" i="5" s="1"/>
  <c r="V86" i="5"/>
  <c r="V87" i="5"/>
  <c r="V88" i="5"/>
  <c r="V89" i="5"/>
  <c r="V90" i="5"/>
  <c r="V91" i="5"/>
  <c r="V92" i="5"/>
  <c r="V93" i="5"/>
  <c r="R93" i="5" s="1"/>
  <c r="V94" i="5"/>
  <c r="V95" i="5"/>
  <c r="V96" i="5"/>
  <c r="V97" i="5"/>
  <c r="V98" i="5"/>
  <c r="V99" i="5"/>
  <c r="V100" i="5"/>
  <c r="V101" i="5"/>
  <c r="R101" i="5" s="1"/>
  <c r="V102" i="5"/>
  <c r="V103" i="5"/>
  <c r="V104" i="5"/>
  <c r="V105" i="5"/>
  <c r="V106" i="5"/>
  <c r="V107" i="5"/>
  <c r="V108" i="5"/>
  <c r="V109" i="5"/>
  <c r="R109" i="5" s="1"/>
  <c r="V110" i="5"/>
  <c r="V111" i="5"/>
  <c r="V112" i="5"/>
  <c r="V113" i="5"/>
  <c r="V114" i="5"/>
  <c r="V115" i="5"/>
  <c r="V116" i="5"/>
  <c r="V117" i="5"/>
  <c r="R117" i="5" s="1"/>
  <c r="V118" i="5"/>
  <c r="V119" i="5"/>
  <c r="V120" i="5"/>
  <c r="V121" i="5"/>
  <c r="V122" i="5"/>
  <c r="V123" i="5"/>
  <c r="V124" i="5"/>
  <c r="V125" i="5"/>
  <c r="R125" i="5" s="1"/>
  <c r="V126" i="5"/>
  <c r="V127" i="5"/>
  <c r="V128" i="5"/>
  <c r="V129" i="5"/>
  <c r="V130" i="5"/>
  <c r="V131" i="5"/>
  <c r="V132" i="5"/>
  <c r="V133" i="5"/>
  <c r="R133" i="5" s="1"/>
  <c r="V134" i="5"/>
  <c r="V135" i="5"/>
  <c r="V136" i="5"/>
  <c r="V137" i="5"/>
  <c r="V138" i="5"/>
  <c r="V139" i="5"/>
  <c r="V140" i="5"/>
  <c r="V141" i="5"/>
  <c r="R141" i="5" s="1"/>
  <c r="V142" i="5"/>
  <c r="V143" i="5"/>
  <c r="V144" i="5"/>
  <c r="V145" i="5"/>
  <c r="V146" i="5"/>
  <c r="V147" i="5"/>
  <c r="V148" i="5"/>
  <c r="V149" i="5"/>
  <c r="R149" i="5" s="1"/>
  <c r="V150" i="5"/>
  <c r="V151" i="5"/>
  <c r="V152" i="5"/>
  <c r="V153" i="5"/>
  <c r="V154" i="5"/>
  <c r="V155" i="5"/>
  <c r="V156" i="5"/>
  <c r="V157" i="5"/>
  <c r="R157" i="5" s="1"/>
  <c r="V158" i="5"/>
  <c r="V159" i="5"/>
  <c r="V160" i="5"/>
  <c r="V161" i="5"/>
  <c r="V162" i="5"/>
  <c r="V163" i="5"/>
  <c r="V164" i="5"/>
  <c r="V165" i="5"/>
  <c r="R165" i="5" s="1"/>
  <c r="V166" i="5"/>
  <c r="V167" i="5"/>
  <c r="V168" i="5"/>
  <c r="V169" i="5"/>
  <c r="V170" i="5"/>
  <c r="V171" i="5"/>
  <c r="V172" i="5"/>
  <c r="V173" i="5"/>
  <c r="R173" i="5" s="1"/>
  <c r="V174" i="5"/>
  <c r="V175" i="5"/>
  <c r="V176" i="5"/>
  <c r="V177" i="5"/>
  <c r="V178" i="5"/>
  <c r="V179" i="5"/>
  <c r="V180" i="5"/>
  <c r="V181" i="5"/>
  <c r="R181" i="5" s="1"/>
  <c r="V182" i="5"/>
  <c r="V183" i="5"/>
  <c r="V184" i="5"/>
  <c r="V185" i="5"/>
  <c r="V186" i="5"/>
  <c r="V187" i="5"/>
  <c r="V188" i="5"/>
  <c r="V189" i="5"/>
  <c r="R189" i="5" s="1"/>
  <c r="V190" i="5"/>
  <c r="V191" i="5"/>
  <c r="V192" i="5"/>
  <c r="V193" i="5"/>
  <c r="V194" i="5"/>
  <c r="V195" i="5"/>
  <c r="V196" i="5"/>
  <c r="V197" i="5"/>
  <c r="R197" i="5" s="1"/>
  <c r="V198" i="5"/>
  <c r="V199" i="5"/>
  <c r="V200" i="5"/>
  <c r="V201" i="5"/>
  <c r="V202" i="5"/>
  <c r="V203" i="5"/>
  <c r="V204" i="5"/>
  <c r="V205" i="5"/>
  <c r="R205" i="5" s="1"/>
  <c r="V206" i="5"/>
  <c r="V207" i="5"/>
  <c r="V208" i="5"/>
  <c r="V209" i="5"/>
  <c r="V210" i="5"/>
  <c r="V211" i="5"/>
  <c r="V212" i="5"/>
  <c r="V213" i="5"/>
  <c r="R213" i="5" s="1"/>
  <c r="V214" i="5"/>
  <c r="V215" i="5"/>
  <c r="V216" i="5"/>
  <c r="V217" i="5"/>
  <c r="V218" i="5"/>
  <c r="V219" i="5"/>
  <c r="V220" i="5"/>
  <c r="V221" i="5"/>
  <c r="R221" i="5" s="1"/>
  <c r="V222" i="5"/>
  <c r="V223" i="5"/>
  <c r="V224" i="5"/>
  <c r="V225" i="5"/>
  <c r="V226" i="5"/>
  <c r="V227" i="5"/>
  <c r="V228" i="5"/>
  <c r="V229" i="5"/>
  <c r="R229" i="5" s="1"/>
  <c r="V230" i="5"/>
  <c r="V231" i="5"/>
  <c r="V232" i="5"/>
  <c r="V233" i="5"/>
  <c r="V234" i="5"/>
  <c r="V235" i="5"/>
  <c r="V236" i="5"/>
  <c r="V237" i="5"/>
  <c r="R237" i="5" s="1"/>
  <c r="V238" i="5"/>
  <c r="V239" i="5"/>
  <c r="V240" i="5"/>
  <c r="V241" i="5"/>
  <c r="V242" i="5"/>
  <c r="V243" i="5"/>
  <c r="V244" i="5"/>
  <c r="V245" i="5"/>
  <c r="R245" i="5" s="1"/>
  <c r="V246" i="5"/>
  <c r="V247" i="5"/>
  <c r="V248" i="5"/>
  <c r="V249" i="5"/>
  <c r="V250" i="5"/>
  <c r="V251" i="5"/>
  <c r="V252" i="5"/>
  <c r="V253" i="5"/>
  <c r="R253" i="5" s="1"/>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R285" i="5" s="1"/>
  <c r="V286" i="5"/>
  <c r="V287" i="5"/>
  <c r="V288" i="5"/>
  <c r="V289" i="5"/>
  <c r="V290" i="5"/>
  <c r="V291" i="5"/>
  <c r="V292" i="5"/>
  <c r="V293" i="5"/>
  <c r="V294" i="5"/>
  <c r="V295" i="5"/>
  <c r="V296" i="5"/>
  <c r="V297" i="5"/>
  <c r="V298" i="5"/>
  <c r="V299" i="5"/>
  <c r="V300" i="5"/>
  <c r="V301" i="5"/>
  <c r="R301" i="5" s="1"/>
  <c r="V302" i="5"/>
  <c r="V303" i="5"/>
  <c r="V304" i="5"/>
  <c r="V305" i="5"/>
  <c r="V306" i="5"/>
  <c r="V307" i="5"/>
  <c r="V308" i="5"/>
  <c r="V309" i="5"/>
  <c r="R309" i="5" s="1"/>
  <c r="V310" i="5"/>
  <c r="V311" i="5"/>
  <c r="V312" i="5"/>
  <c r="V313" i="5"/>
  <c r="V314" i="5"/>
  <c r="V315" i="5"/>
  <c r="V316" i="5"/>
  <c r="V317" i="5"/>
  <c r="R317" i="5" s="1"/>
  <c r="V318" i="5"/>
  <c r="V319" i="5"/>
  <c r="V320" i="5"/>
  <c r="V321" i="5"/>
  <c r="V322" i="5"/>
  <c r="V323" i="5"/>
  <c r="V324" i="5"/>
  <c r="V325" i="5"/>
  <c r="R325" i="5" s="1"/>
  <c r="V326" i="5"/>
  <c r="V327" i="5"/>
  <c r="V328" i="5"/>
  <c r="V329" i="5"/>
  <c r="V330" i="5"/>
  <c r="V331" i="5"/>
  <c r="V332" i="5"/>
  <c r="V333" i="5"/>
  <c r="R333" i="5" s="1"/>
  <c r="V334" i="5"/>
  <c r="V335" i="5"/>
  <c r="V336" i="5"/>
  <c r="R336" i="5" s="1"/>
  <c r="V337" i="5"/>
  <c r="V338" i="5"/>
  <c r="V339" i="5"/>
  <c r="V340" i="5"/>
  <c r="V341" i="5"/>
  <c r="R341" i="5" s="1"/>
  <c r="V342" i="5"/>
  <c r="V343" i="5"/>
  <c r="V344" i="5"/>
  <c r="R344" i="5" s="1"/>
  <c r="V345" i="5"/>
  <c r="V346" i="5"/>
  <c r="V347" i="5"/>
  <c r="V348" i="5"/>
  <c r="V349" i="5"/>
  <c r="R349" i="5" s="1"/>
  <c r="V350" i="5"/>
  <c r="V351" i="5"/>
  <c r="V352" i="5"/>
  <c r="V353" i="5"/>
  <c r="V354" i="5"/>
  <c r="V355" i="5"/>
  <c r="V356" i="5"/>
  <c r="V357" i="5"/>
  <c r="R357" i="5" s="1"/>
  <c r="V358" i="5"/>
  <c r="V359" i="5"/>
  <c r="V360" i="5"/>
  <c r="R360" i="5" s="1"/>
  <c r="V361" i="5"/>
  <c r="V362" i="5"/>
  <c r="V363" i="5"/>
  <c r="V364" i="5"/>
  <c r="V365" i="5"/>
  <c r="V366" i="5"/>
  <c r="V367" i="5"/>
  <c r="V368" i="5"/>
  <c r="R368" i="5" s="1"/>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s="1"/>
  <c r="B57" i="6"/>
  <c r="G57" i="6"/>
  <c r="B56" i="6"/>
  <c r="G56" i="6"/>
  <c r="B55" i="6"/>
  <c r="G55" i="6" s="1"/>
  <c r="B54" i="6"/>
  <c r="G54" i="6" s="1"/>
  <c r="B17" i="6"/>
  <c r="B16" i="6"/>
  <c r="B15" i="6"/>
  <c r="F25" i="6" s="1"/>
  <c r="B14" i="6"/>
  <c r="B19" i="6" s="1"/>
  <c r="H13" i="6"/>
  <c r="B12" i="6"/>
  <c r="G12" i="6" s="1"/>
  <c r="H12" i="6" s="1"/>
  <c r="D12" i="6" s="1"/>
  <c r="B11" i="6"/>
  <c r="G11" i="6"/>
  <c r="H11" i="6" s="1"/>
  <c r="D11" i="6" s="1"/>
  <c r="G10" i="6"/>
  <c r="H10" i="6" s="1"/>
  <c r="D10" i="6" s="1"/>
  <c r="G9" i="6"/>
  <c r="H9" i="6" s="1"/>
  <c r="D9" i="6" s="1"/>
  <c r="B8" i="6"/>
  <c r="G8" i="6" s="1"/>
  <c r="H8" i="6" s="1"/>
  <c r="D8" i="6" s="1"/>
  <c r="B7" i="6"/>
  <c r="G7" i="6"/>
  <c r="H7" i="6"/>
  <c r="D7" i="6" s="1"/>
  <c r="B6" i="6"/>
  <c r="G6" i="6" s="1"/>
  <c r="B5" i="6"/>
  <c r="F6" i="6" s="1"/>
  <c r="B4" i="6"/>
  <c r="G4" i="6" s="1"/>
  <c r="H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R332" i="5"/>
  <c r="R329" i="5"/>
  <c r="R322" i="5"/>
  <c r="R313" i="5"/>
  <c r="R283" i="5"/>
  <c r="X271" i="5"/>
  <c r="R263" i="5"/>
  <c r="R255" i="5"/>
  <c r="R233" i="5"/>
  <c r="R219" i="5"/>
  <c r="X190" i="5"/>
  <c r="R185" i="5"/>
  <c r="R153" i="5"/>
  <c r="X150" i="5"/>
  <c r="R137" i="5"/>
  <c r="R121" i="5"/>
  <c r="R98" i="5"/>
  <c r="R96" i="5"/>
  <c r="X94" i="5"/>
  <c r="R92" i="5"/>
  <c r="R88" i="5"/>
  <c r="R84" i="5"/>
  <c r="R82" i="5"/>
  <c r="R81" i="5"/>
  <c r="R80" i="5"/>
  <c r="R78" i="5"/>
  <c r="R76" i="5"/>
  <c r="R72" i="5"/>
  <c r="R68" i="5"/>
  <c r="R66" i="5"/>
  <c r="R65" i="5"/>
  <c r="R64" i="5"/>
  <c r="R62" i="5"/>
  <c r="R60" i="5"/>
  <c r="R56" i="5"/>
  <c r="R52" i="5"/>
  <c r="R50" i="5"/>
  <c r="R49" i="5"/>
  <c r="R48" i="5"/>
  <c r="R46" i="5"/>
  <c r="R44" i="5"/>
  <c r="R36" i="5"/>
  <c r="R34" i="5"/>
  <c r="R33" i="5"/>
  <c r="R24" i="5"/>
  <c r="R20" i="5"/>
  <c r="AB18" i="5"/>
  <c r="R6" i="5"/>
  <c r="AB6" i="5"/>
  <c r="B90" i="4"/>
  <c r="H67" i="4"/>
  <c r="P47" i="4"/>
  <c r="P46" i="4"/>
  <c r="P45" i="4"/>
  <c r="B45" i="4" s="1"/>
  <c r="A30" i="6" s="1"/>
  <c r="P44" i="4"/>
  <c r="P43" i="4"/>
  <c r="Q43" i="4"/>
  <c r="P41" i="4"/>
  <c r="P40" i="4"/>
  <c r="P39" i="4"/>
  <c r="P38" i="4"/>
  <c r="P37" i="4"/>
  <c r="Q37" i="4" s="1"/>
  <c r="P35" i="4"/>
  <c r="P34" i="4"/>
  <c r="P33" i="4"/>
  <c r="P32" i="4"/>
  <c r="P31" i="4"/>
  <c r="Q31" i="4" s="1"/>
  <c r="P29" i="4"/>
  <c r="P28" i="4"/>
  <c r="B28" i="4" s="1"/>
  <c r="P27" i="4"/>
  <c r="P26" i="4"/>
  <c r="B26" i="4" s="1"/>
  <c r="A14" i="6" s="1"/>
  <c r="D11" i="4"/>
  <c r="A5" i="4"/>
  <c r="Q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H1753" i="5"/>
  <c r="I764" i="5"/>
  <c r="I2158" i="5"/>
  <c r="R70" i="5"/>
  <c r="AB364" i="5"/>
  <c r="R488" i="5"/>
  <c r="H1178" i="5"/>
  <c r="J1218" i="5"/>
  <c r="J1250" i="5"/>
  <c r="AB1312" i="5"/>
  <c r="F2013" i="5"/>
  <c r="AB2065" i="5"/>
  <c r="AB2152" i="5"/>
  <c r="H2474" i="5"/>
  <c r="AB196"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R376" i="5"/>
  <c r="F376" i="5"/>
  <c r="F594" i="5"/>
  <c r="T1305" i="5"/>
  <c r="S1305" i="5"/>
  <c r="AB1743" i="5"/>
  <c r="S1743" i="5"/>
  <c r="T1802" i="5"/>
  <c r="AB1802" i="5"/>
  <c r="F1909" i="5"/>
  <c r="R1909" i="5"/>
  <c r="H1909" i="5"/>
  <c r="R2458" i="5"/>
  <c r="I2458" i="5"/>
  <c r="AB30" i="5"/>
  <c r="AB126"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S613" i="5"/>
  <c r="S750" i="5"/>
  <c r="T766" i="5"/>
  <c r="T784" i="5"/>
  <c r="S794" i="5"/>
  <c r="S838" i="5"/>
  <c r="S847" i="5"/>
  <c r="S915" i="5"/>
  <c r="S998" i="5"/>
  <c r="S1012" i="5"/>
  <c r="S1111" i="5"/>
  <c r="S1161" i="5"/>
  <c r="J1273" i="5"/>
  <c r="I1273" i="5"/>
  <c r="T1310" i="5"/>
  <c r="S1310" i="5"/>
  <c r="T1867" i="5"/>
  <c r="S1867" i="5"/>
  <c r="I2025" i="5"/>
  <c r="H2025" i="5"/>
  <c r="S2269" i="5"/>
  <c r="T2269" i="5"/>
  <c r="AB24"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AB218" i="5"/>
  <c r="AB235"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R97" i="5"/>
  <c r="X97" i="5"/>
  <c r="X79" i="5"/>
  <c r="X47" i="5"/>
  <c r="R127" i="5"/>
  <c r="X127" i="5"/>
  <c r="T895" i="5"/>
  <c r="AB895" i="5"/>
  <c r="S895" i="5"/>
  <c r="AB1863" i="5"/>
  <c r="T1863" i="5"/>
  <c r="S1863" i="5"/>
  <c r="R54" i="5"/>
  <c r="R74" i="5"/>
  <c r="AB210" i="5"/>
  <c r="R225" i="5"/>
  <c r="R463" i="5"/>
  <c r="F586" i="5"/>
  <c r="I714" i="5"/>
  <c r="J714" i="5"/>
  <c r="T738" i="5"/>
  <c r="S738" i="5"/>
  <c r="R94" i="5"/>
  <c r="AB170" i="5"/>
  <c r="H452" i="5"/>
  <c r="F452" i="5"/>
  <c r="S1497" i="5"/>
  <c r="T1497" i="5"/>
  <c r="X63" i="5"/>
  <c r="AB262" i="5"/>
  <c r="AB298" i="5"/>
  <c r="F451" i="5"/>
  <c r="R453" i="5"/>
  <c r="J453" i="5"/>
  <c r="H453" i="5"/>
  <c r="F453" i="5"/>
  <c r="T1447" i="5"/>
  <c r="AB1447" i="5"/>
  <c r="S1447" i="5"/>
  <c r="R22" i="5"/>
  <c r="R90" i="5"/>
  <c r="AB114" i="5"/>
  <c r="R123" i="5"/>
  <c r="R167" i="5"/>
  <c r="R187" i="5"/>
  <c r="I479" i="5"/>
  <c r="H479" i="5"/>
  <c r="F574" i="5"/>
  <c r="T641" i="5"/>
  <c r="S641" i="5"/>
  <c r="R59" i="5"/>
  <c r="R111" i="5"/>
  <c r="R171" i="5"/>
  <c r="F468" i="5"/>
  <c r="R562" i="5"/>
  <c r="I1848" i="5"/>
  <c r="H1848" i="5"/>
  <c r="AB166" i="5"/>
  <c r="R201" i="5"/>
  <c r="I461" i="5"/>
  <c r="F461" i="5"/>
  <c r="J552" i="5"/>
  <c r="H552" i="5"/>
  <c r="AB178" i="5"/>
  <c r="R299" i="5"/>
  <c r="X392" i="5"/>
  <c r="I392" i="5"/>
  <c r="H392" i="5"/>
  <c r="AB110" i="5"/>
  <c r="R30"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R604" i="5"/>
  <c r="R644" i="5"/>
  <c r="I722" i="5"/>
  <c r="J722" i="5"/>
  <c r="F788" i="5"/>
  <c r="R851" i="5"/>
  <c r="AB851" i="5"/>
  <c r="T916" i="5"/>
  <c r="S916" i="5"/>
  <c r="T979" i="5"/>
  <c r="S979" i="5"/>
  <c r="X982" i="5"/>
  <c r="AB982" i="5"/>
  <c r="F986" i="5"/>
  <c r="H986" i="5"/>
  <c r="T1026" i="5"/>
  <c r="AB1026" i="5"/>
  <c r="S1026" i="5"/>
  <c r="F1086" i="5"/>
  <c r="AB1086" i="5"/>
  <c r="AB132" i="5"/>
  <c r="AB190"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X175" i="5"/>
  <c r="X616" i="5"/>
  <c r="R616" i="5"/>
  <c r="S639" i="5"/>
  <c r="T649" i="5"/>
  <c r="S649" i="5"/>
  <c r="R685" i="5"/>
  <c r="H685" i="5"/>
  <c r="T733" i="5"/>
  <c r="S733" i="5"/>
  <c r="F768" i="5"/>
  <c r="X768" i="5"/>
  <c r="F786" i="5"/>
  <c r="AB836" i="5"/>
  <c r="T911" i="5"/>
  <c r="S911" i="5"/>
  <c r="T927" i="5"/>
  <c r="S927" i="5"/>
  <c r="S938" i="5"/>
  <c r="T938" i="5"/>
  <c r="T976" i="5"/>
  <c r="S976" i="5"/>
  <c r="AB1014" i="5"/>
  <c r="T1014" i="5"/>
  <c r="S1014" i="5"/>
  <c r="H1075" i="5"/>
  <c r="F1075" i="5"/>
  <c r="F1083" i="5"/>
  <c r="H1083" i="5"/>
  <c r="AB207" i="5"/>
  <c r="AB215" i="5"/>
  <c r="AB282" i="5"/>
  <c r="AB356" i="5"/>
  <c r="AB451" i="5"/>
  <c r="F480" i="5"/>
  <c r="T711" i="5"/>
  <c r="S711" i="5"/>
  <c r="S756" i="5"/>
  <c r="T756" i="5"/>
  <c r="I786" i="5"/>
  <c r="T823" i="5"/>
  <c r="S823" i="5"/>
  <c r="H840" i="5"/>
  <c r="F840" i="5"/>
  <c r="T859" i="5"/>
  <c r="S859" i="5"/>
  <c r="AB869" i="5"/>
  <c r="F869" i="5"/>
  <c r="T948" i="5"/>
  <c r="AB948" i="5"/>
  <c r="S948" i="5"/>
  <c r="F1011" i="5"/>
  <c r="AB567" i="5"/>
  <c r="X656" i="5"/>
  <c r="R656" i="5"/>
  <c r="T690"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X720" i="5"/>
  <c r="J730" i="5"/>
  <c r="I732" i="5"/>
  <c r="T736" i="5"/>
  <c r="AB741" i="5"/>
  <c r="S754" i="5"/>
  <c r="S774"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T1531" i="5"/>
  <c r="AB1539" i="5"/>
  <c r="S1556" i="5"/>
  <c r="T1556" i="5"/>
  <c r="AB1561" i="5"/>
  <c r="T1608" i="5"/>
  <c r="S1608" i="5"/>
  <c r="AB1633" i="5"/>
  <c r="AB1640" i="5"/>
  <c r="AB1680" i="5"/>
  <c r="X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73" i="5"/>
  <c r="X73" i="5"/>
  <c r="R169" i="5"/>
  <c r="X169" i="5"/>
  <c r="R195" i="5"/>
  <c r="R67" i="5"/>
  <c r="R19" i="5"/>
  <c r="R35" i="5"/>
  <c r="R139" i="5"/>
  <c r="X193" i="5"/>
  <c r="R227" i="5"/>
  <c r="R41" i="5"/>
  <c r="X41" i="5"/>
  <c r="R143" i="5"/>
  <c r="X143" i="5"/>
  <c r="X177" i="5"/>
  <c r="R177" i="5"/>
  <c r="X183" i="5"/>
  <c r="R183" i="5"/>
  <c r="R241" i="5"/>
  <c r="X247" i="5"/>
  <c r="R247" i="5"/>
  <c r="R259" i="5"/>
  <c r="R99" i="5"/>
  <c r="R135" i="5"/>
  <c r="X135" i="5"/>
  <c r="X159" i="5"/>
  <c r="R159" i="5"/>
  <c r="I373" i="5"/>
  <c r="R373" i="5"/>
  <c r="J373" i="5"/>
  <c r="H373" i="5"/>
  <c r="F373" i="5"/>
  <c r="R27" i="5"/>
  <c r="R83" i="5"/>
  <c r="R51" i="5"/>
  <c r="R89" i="5"/>
  <c r="X89" i="5"/>
  <c r="R199" i="5"/>
  <c r="X199" i="5"/>
  <c r="R131" i="5"/>
  <c r="R57" i="5"/>
  <c r="R105" i="5"/>
  <c r="X119" i="5"/>
  <c r="R119" i="5"/>
  <c r="R223" i="5"/>
  <c r="X223" i="5"/>
  <c r="R337" i="5"/>
  <c r="X31" i="5"/>
  <c r="R113" i="5"/>
  <c r="R155" i="5"/>
  <c r="R203" i="5"/>
  <c r="R249" i="5"/>
  <c r="R39" i="5"/>
  <c r="R55" i="5"/>
  <c r="AB140" i="5"/>
  <c r="AB156" i="5"/>
  <c r="AB160" i="5"/>
  <c r="R179" i="5"/>
  <c r="AB204" i="5"/>
  <c r="AB211" i="5"/>
  <c r="R231" i="5"/>
  <c r="R267" i="5"/>
  <c r="R289" i="5"/>
  <c r="X295" i="5"/>
  <c r="R295" i="5"/>
  <c r="R404" i="5"/>
  <c r="I404" i="5"/>
  <c r="I437" i="5"/>
  <c r="R437" i="5"/>
  <c r="J437" i="5"/>
  <c r="H437" i="5"/>
  <c r="R444" i="5"/>
  <c r="I444" i="5"/>
  <c r="H444" i="5"/>
  <c r="X448" i="5"/>
  <c r="I448" i="5"/>
  <c r="H448" i="5"/>
  <c r="F448" i="5"/>
  <c r="AB455" i="5"/>
  <c r="I457" i="5"/>
  <c r="R457" i="5"/>
  <c r="J457" i="5"/>
  <c r="F457" i="5"/>
  <c r="J492" i="5"/>
  <c r="H492" i="5"/>
  <c r="R492" i="5"/>
  <c r="J548" i="5"/>
  <c r="H548" i="5"/>
  <c r="F548" i="5"/>
  <c r="R693" i="5"/>
  <c r="J693" i="5"/>
  <c r="H693" i="5"/>
  <c r="R699" i="5"/>
  <c r="H699" i="5"/>
  <c r="R704" i="5"/>
  <c r="H704" i="5"/>
  <c r="AB222" i="5"/>
  <c r="AB254" i="5"/>
  <c r="AB258" i="5"/>
  <c r="AB270" i="5"/>
  <c r="AB363" i="5"/>
  <c r="I369" i="5"/>
  <c r="J369" i="5"/>
  <c r="H369" i="5"/>
  <c r="F369" i="5"/>
  <c r="I389" i="5"/>
  <c r="R389" i="5"/>
  <c r="J389" i="5"/>
  <c r="H389" i="5"/>
  <c r="F389" i="5"/>
  <c r="H404" i="5"/>
  <c r="I421" i="5"/>
  <c r="R421" i="5"/>
  <c r="J421" i="5"/>
  <c r="H421" i="5"/>
  <c r="R428" i="5"/>
  <c r="I428" i="5"/>
  <c r="H428" i="5"/>
  <c r="X432" i="5"/>
  <c r="I432" i="5"/>
  <c r="H432" i="5"/>
  <c r="F432" i="5"/>
  <c r="F437" i="5"/>
  <c r="R620" i="5"/>
  <c r="J620" i="5"/>
  <c r="F620" i="5"/>
  <c r="AB307" i="5"/>
  <c r="I397" i="5"/>
  <c r="R397" i="5"/>
  <c r="J397" i="5"/>
  <c r="H397" i="5"/>
  <c r="F397" i="5"/>
  <c r="R42" i="5"/>
  <c r="X55" i="5"/>
  <c r="AB118" i="5"/>
  <c r="AB130" i="5"/>
  <c r="AB182" i="5"/>
  <c r="AB194" i="5"/>
  <c r="R235" i="5"/>
  <c r="X263" i="5"/>
  <c r="AB315" i="5"/>
  <c r="AB330" i="5"/>
  <c r="R348" i="5"/>
  <c r="R353" i="5"/>
  <c r="R356" i="5"/>
  <c r="I380" i="5"/>
  <c r="R380" i="5"/>
  <c r="F380" i="5"/>
  <c r="AB395" i="5"/>
  <c r="X400" i="5"/>
  <c r="H400" i="5"/>
  <c r="F400" i="5"/>
  <c r="I409" i="5"/>
  <c r="J409" i="5"/>
  <c r="H409" i="5"/>
  <c r="F409" i="5"/>
  <c r="F428" i="5"/>
  <c r="I445" i="5"/>
  <c r="R445" i="5"/>
  <c r="J445" i="5"/>
  <c r="H445" i="5"/>
  <c r="R516" i="5"/>
  <c r="H516" i="5"/>
  <c r="R532" i="5"/>
  <c r="H532" i="5"/>
  <c r="R660" i="5"/>
  <c r="F660" i="5"/>
  <c r="AB867" i="5"/>
  <c r="J867" i="5"/>
  <c r="T1003" i="5"/>
  <c r="S1003" i="5"/>
  <c r="AB1003" i="5"/>
  <c r="AB290" i="5"/>
  <c r="I381" i="5"/>
  <c r="J381" i="5"/>
  <c r="H381" i="5"/>
  <c r="F381" i="5"/>
  <c r="X408" i="5"/>
  <c r="I408" i="5"/>
  <c r="H408" i="5"/>
  <c r="F408" i="5"/>
  <c r="I425" i="5"/>
  <c r="J425" i="5"/>
  <c r="H425" i="5"/>
  <c r="F425" i="5"/>
  <c r="R58" i="5"/>
  <c r="X23" i="5"/>
  <c r="AB26" i="5"/>
  <c r="X39" i="5"/>
  <c r="AB22" i="5"/>
  <c r="R25" i="5"/>
  <c r="R47" i="5"/>
  <c r="R63" i="5"/>
  <c r="R79" i="5"/>
  <c r="R95" i="5"/>
  <c r="AB108" i="5"/>
  <c r="X111" i="5"/>
  <c r="AB124" i="5"/>
  <c r="AB128" i="5"/>
  <c r="AB146" i="5"/>
  <c r="R147" i="5"/>
  <c r="X166" i="5"/>
  <c r="X167" i="5"/>
  <c r="AB172" i="5"/>
  <c r="AB188" i="5"/>
  <c r="AB192" i="5"/>
  <c r="AB206" i="5"/>
  <c r="AB214" i="5"/>
  <c r="AB226" i="5"/>
  <c r="X231" i="5"/>
  <c r="R273" i="5"/>
  <c r="R291" i="5"/>
  <c r="AB294" i="5"/>
  <c r="AB337" i="5"/>
  <c r="AB383" i="5"/>
  <c r="I400" i="5"/>
  <c r="I405" i="5"/>
  <c r="R405" i="5"/>
  <c r="J405" i="5"/>
  <c r="H405" i="5"/>
  <c r="R409" i="5"/>
  <c r="R412" i="5"/>
  <c r="I412" i="5"/>
  <c r="H412" i="5"/>
  <c r="X416" i="5"/>
  <c r="I416" i="5"/>
  <c r="H416" i="5"/>
  <c r="F416" i="5"/>
  <c r="F421" i="5"/>
  <c r="I433" i="5"/>
  <c r="J433" i="5"/>
  <c r="H433" i="5"/>
  <c r="F433" i="5"/>
  <c r="I449" i="5"/>
  <c r="R449" i="5"/>
  <c r="J449" i="5"/>
  <c r="H449" i="5"/>
  <c r="F449" i="5"/>
  <c r="X449" i="5"/>
  <c r="AB471" i="5"/>
  <c r="AB477" i="5"/>
  <c r="AB529" i="5"/>
  <c r="R606" i="5"/>
  <c r="F606" i="5"/>
  <c r="J642" i="5"/>
  <c r="R642" i="5"/>
  <c r="F642" i="5"/>
  <c r="H844" i="5"/>
  <c r="J844" i="5"/>
  <c r="AB266" i="5"/>
  <c r="AB134" i="5"/>
  <c r="AB142" i="5"/>
  <c r="AB198" i="5"/>
  <c r="X255" i="5"/>
  <c r="AB306" i="5"/>
  <c r="AB323" i="5"/>
  <c r="R345" i="5"/>
  <c r="AB349" i="5"/>
  <c r="AB381" i="5"/>
  <c r="I385" i="5"/>
  <c r="R385" i="5"/>
  <c r="J385" i="5"/>
  <c r="H385" i="5"/>
  <c r="F385" i="5"/>
  <c r="X385" i="5"/>
  <c r="I429" i="5"/>
  <c r="R429" i="5"/>
  <c r="J429" i="5"/>
  <c r="H429" i="5"/>
  <c r="R436" i="5"/>
  <c r="I436" i="5"/>
  <c r="H436" i="5"/>
  <c r="X440" i="5"/>
  <c r="I440" i="5"/>
  <c r="H440" i="5"/>
  <c r="F440" i="5"/>
  <c r="R456" i="5"/>
  <c r="I456" i="5"/>
  <c r="H456" i="5"/>
  <c r="R760" i="5"/>
  <c r="I760" i="5"/>
  <c r="F760" i="5"/>
  <c r="X760" i="5"/>
  <c r="X49" i="5"/>
  <c r="X81" i="5"/>
  <c r="X110" i="5"/>
  <c r="AB138" i="5"/>
  <c r="AB154" i="5"/>
  <c r="AB158" i="5"/>
  <c r="AB202" i="5"/>
  <c r="AB223" i="5"/>
  <c r="AB238" i="5"/>
  <c r="AB246" i="5"/>
  <c r="R257" i="5"/>
  <c r="AB259" i="5"/>
  <c r="AB274" i="5"/>
  <c r="R275" i="5"/>
  <c r="R364" i="5"/>
  <c r="R396" i="5"/>
  <c r="I396" i="5"/>
  <c r="H396" i="5"/>
  <c r="F396" i="5"/>
  <c r="I417" i="5"/>
  <c r="J417" i="5"/>
  <c r="H417" i="5"/>
  <c r="F417" i="5"/>
  <c r="F436" i="5"/>
  <c r="F456" i="5"/>
  <c r="H511" i="5"/>
  <c r="H523" i="5"/>
  <c r="F523" i="5"/>
  <c r="R566" i="5"/>
  <c r="F566" i="5"/>
  <c r="J638" i="5"/>
  <c r="R638" i="5"/>
  <c r="F638" i="5"/>
  <c r="I726" i="5"/>
  <c r="F726" i="5"/>
  <c r="X726" i="5"/>
  <c r="I742" i="5"/>
  <c r="F742" i="5"/>
  <c r="AB322" i="5"/>
  <c r="AB32" i="5"/>
  <c r="X95" i="5"/>
  <c r="R145" i="5"/>
  <c r="AB162" i="5"/>
  <c r="AB227" i="5"/>
  <c r="AB247" i="5"/>
  <c r="R269" i="5"/>
  <c r="AB314" i="5"/>
  <c r="R321" i="5"/>
  <c r="AB331" i="5"/>
  <c r="I377" i="5"/>
  <c r="R377" i="5"/>
  <c r="J377" i="5"/>
  <c r="H377" i="5"/>
  <c r="F377" i="5"/>
  <c r="R381" i="5"/>
  <c r="R388" i="5"/>
  <c r="I388" i="5"/>
  <c r="H388" i="5"/>
  <c r="F388" i="5"/>
  <c r="I401" i="5"/>
  <c r="H401" i="5"/>
  <c r="F401" i="5"/>
  <c r="X401" i="5"/>
  <c r="I413" i="5"/>
  <c r="R413" i="5"/>
  <c r="J413" i="5"/>
  <c r="H413" i="5"/>
  <c r="R420" i="5"/>
  <c r="I420" i="5"/>
  <c r="H420" i="5"/>
  <c r="X424" i="5"/>
  <c r="I424" i="5"/>
  <c r="H424" i="5"/>
  <c r="F424" i="5"/>
  <c r="F429" i="5"/>
  <c r="I441" i="5"/>
  <c r="J441" i="5"/>
  <c r="H441" i="5"/>
  <c r="F441" i="5"/>
  <c r="R448" i="5"/>
  <c r="AB545" i="5"/>
  <c r="J508" i="5"/>
  <c r="J540" i="5"/>
  <c r="R544" i="5"/>
  <c r="J544" i="5"/>
  <c r="H544" i="5"/>
  <c r="F564" i="5"/>
  <c r="R564" i="5"/>
  <c r="AB611" i="5"/>
  <c r="AB623" i="5"/>
  <c r="S623" i="5"/>
  <c r="T655" i="5"/>
  <c r="S655" i="5"/>
  <c r="I666" i="5"/>
  <c r="R666" i="5"/>
  <c r="J666" i="5"/>
  <c r="F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2" i="5"/>
  <c r="F552" i="5"/>
  <c r="R552" i="5"/>
  <c r="X560"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T884" i="5"/>
  <c r="S884" i="5"/>
  <c r="T971" i="5"/>
  <c r="AB971" i="5"/>
  <c r="S971" i="5"/>
  <c r="AB234" i="5"/>
  <c r="AB250" i="5"/>
  <c r="AB271" i="5"/>
  <c r="AB286" i="5"/>
  <c r="AB291" i="5"/>
  <c r="X302" i="5"/>
  <c r="AB304" i="5"/>
  <c r="AB371" i="5"/>
  <c r="R372" i="5"/>
  <c r="AB387" i="5"/>
  <c r="AB391" i="5"/>
  <c r="AB392" i="5"/>
  <c r="AB399" i="5"/>
  <c r="AB460" i="5"/>
  <c r="AB462" i="5"/>
  <c r="R504" i="5"/>
  <c r="J520" i="5"/>
  <c r="R520" i="5"/>
  <c r="AB533" i="5"/>
  <c r="R536" i="5"/>
  <c r="AB547" i="5"/>
  <c r="AB555" i="5"/>
  <c r="I576" i="5"/>
  <c r="X584" i="5"/>
  <c r="J584" i="5"/>
  <c r="R586" i="5"/>
  <c r="AB599" i="5"/>
  <c r="F618"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H1018" i="5"/>
  <c r="F1018" i="5"/>
  <c r="H1114" i="5"/>
  <c r="F1114" i="5"/>
  <c r="AB287" i="5"/>
  <c r="AB309" i="5"/>
  <c r="AB317" i="5"/>
  <c r="AB325" i="5"/>
  <c r="AB335" i="5"/>
  <c r="X361" i="5"/>
  <c r="AB413" i="5"/>
  <c r="AB421" i="5"/>
  <c r="AB429" i="5"/>
  <c r="AB437" i="5"/>
  <c r="AB445" i="5"/>
  <c r="I455" i="5"/>
  <c r="AB463" i="5"/>
  <c r="H491" i="5"/>
  <c r="F491" i="5"/>
  <c r="H495" i="5"/>
  <c r="AB504" i="5"/>
  <c r="H508" i="5"/>
  <c r="J512" i="5"/>
  <c r="H540" i="5"/>
  <c r="F544" i="5"/>
  <c r="AB559" i="5"/>
  <c r="R614" i="5"/>
  <c r="AB619" i="5"/>
  <c r="T619" i="5"/>
  <c r="S619" i="5"/>
  <c r="X624" i="5"/>
  <c r="F624" i="5"/>
  <c r="R624" i="5"/>
  <c r="J624" i="5"/>
  <c r="R692" i="5"/>
  <c r="J692" i="5"/>
  <c r="I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H757" i="5"/>
  <c r="R767" i="5"/>
  <c r="T821" i="5"/>
  <c r="S821" i="5"/>
  <c r="J826" i="5"/>
  <c r="I826" i="5"/>
  <c r="F826" i="5"/>
  <c r="F1059" i="5"/>
  <c r="J1059" i="5"/>
  <c r="H1059" i="5"/>
  <c r="H1062" i="5"/>
  <c r="X1062" i="5"/>
  <c r="H1070" i="5"/>
  <c r="F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J1043" i="5"/>
  <c r="H1043" i="5"/>
  <c r="F1043" i="5"/>
  <c r="AB1046" i="5"/>
  <c r="T1046" i="5"/>
  <c r="S1046" i="5"/>
  <c r="H1054" i="5"/>
  <c r="F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T802" i="5"/>
  <c r="H824" i="5"/>
  <c r="X824" i="5"/>
  <c r="S828" i="5"/>
  <c r="AB828" i="5"/>
  <c r="F835" i="5"/>
  <c r="AB852" i="5"/>
  <c r="I852" i="5"/>
  <c r="H865" i="5"/>
  <c r="F865" i="5"/>
  <c r="T868" i="5"/>
  <c r="S868" i="5"/>
  <c r="AB885" i="5"/>
  <c r="T930" i="5"/>
  <c r="S930" i="5"/>
  <c r="J934" i="5"/>
  <c r="T943" i="5"/>
  <c r="S943" i="5"/>
  <c r="T951" i="5"/>
  <c r="S951" i="5"/>
  <c r="T958" i="5"/>
  <c r="S958" i="5"/>
  <c r="F978" i="5"/>
  <c r="H978" i="5"/>
  <c r="F990" i="5"/>
  <c r="R1009" i="5"/>
  <c r="F1009" i="5"/>
  <c r="T1027" i="5"/>
  <c r="S1027" i="5"/>
  <c r="H1034" i="5"/>
  <c r="F1034" i="5"/>
  <c r="H1046" i="5"/>
  <c r="H1091" i="5"/>
  <c r="J1091" i="5"/>
  <c r="F1091" i="5"/>
  <c r="H1118" i="5"/>
  <c r="F1118" i="5"/>
  <c r="R1132" i="5"/>
  <c r="J1185" i="5"/>
  <c r="X1185" i="5"/>
  <c r="AB679" i="5"/>
  <c r="T770" i="5"/>
  <c r="S770" i="5"/>
  <c r="H782" i="5"/>
  <c r="I782" i="5"/>
  <c r="F782" i="5"/>
  <c r="R784" i="5"/>
  <c r="F784" i="5"/>
  <c r="T790" i="5"/>
  <c r="S790" i="5"/>
  <c r="H802" i="5"/>
  <c r="J802" i="5"/>
  <c r="R804" i="5"/>
  <c r="I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J1047" i="5"/>
  <c r="H1047" i="5"/>
  <c r="H1050" i="5"/>
  <c r="F1050" i="5"/>
  <c r="H1063" i="5"/>
  <c r="J1063" i="5"/>
  <c r="F1063" i="5"/>
  <c r="T1087" i="5"/>
  <c r="S1087" i="5"/>
  <c r="AB1087" i="5"/>
  <c r="T1108" i="5"/>
  <c r="S1108"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R917" i="5"/>
  <c r="F917" i="5"/>
  <c r="H935" i="5"/>
  <c r="F935" i="5"/>
  <c r="J938" i="5"/>
  <c r="H938" i="5"/>
  <c r="AB951" i="5"/>
  <c r="R969" i="5"/>
  <c r="F969" i="5"/>
  <c r="J1019" i="5"/>
  <c r="H1019" i="5"/>
  <c r="F1019" i="5"/>
  <c r="AB1027" i="5"/>
  <c r="F104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800" i="5"/>
  <c r="J812" i="5"/>
  <c r="T820" i="5"/>
  <c r="F830" i="5"/>
  <c r="F832" i="5"/>
  <c r="AB834" i="5"/>
  <c r="S834" i="5"/>
  <c r="AB846" i="5"/>
  <c r="F862" i="5"/>
  <c r="AB866" i="5"/>
  <c r="T872" i="5"/>
  <c r="S872" i="5"/>
  <c r="R881" i="5"/>
  <c r="F881" i="5"/>
  <c r="AB883" i="5"/>
  <c r="T886" i="5"/>
  <c r="T902" i="5"/>
  <c r="S902" i="5"/>
  <c r="F910" i="5"/>
  <c r="J917" i="5"/>
  <c r="J995" i="5"/>
  <c r="H995" i="5"/>
  <c r="F995"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J1111" i="5"/>
  <c r="S1122" i="5"/>
  <c r="S1123" i="5"/>
  <c r="AB1138" i="5"/>
  <c r="T1149" i="5"/>
  <c r="T1153" i="5"/>
  <c r="X1160" i="5"/>
  <c r="J1166" i="5"/>
  <c r="S1172" i="5"/>
  <c r="S1173" i="5"/>
  <c r="S1180" i="5"/>
  <c r="T1180" i="5"/>
  <c r="S1181" i="5"/>
  <c r="S1185" i="5"/>
  <c r="S1189" i="5"/>
  <c r="T1202" i="5"/>
  <c r="AB1202" i="5"/>
  <c r="S1202" i="5"/>
  <c r="S1205" i="5"/>
  <c r="AB1205" i="5"/>
  <c r="AB1213" i="5"/>
  <c r="R1229" i="5"/>
  <c r="H1229" i="5"/>
  <c r="F1229" i="5"/>
  <c r="J1229" i="5"/>
  <c r="T1311" i="5"/>
  <c r="S1311" i="5"/>
  <c r="AB822" i="5"/>
  <c r="S883" i="5"/>
  <c r="X888" i="5"/>
  <c r="AB920" i="5"/>
  <c r="S939" i="5"/>
  <c r="AB940" i="5"/>
  <c r="AB952" i="5"/>
  <c r="F973" i="5"/>
  <c r="S975" i="5"/>
  <c r="AB979" i="5"/>
  <c r="S991" i="5"/>
  <c r="S1006" i="5"/>
  <c r="J1011" i="5"/>
  <c r="J1031" i="5"/>
  <c r="R1035" i="5"/>
  <c r="AB1039" i="5"/>
  <c r="S1051" i="5"/>
  <c r="I1055" i="5"/>
  <c r="J1083" i="5"/>
  <c r="S1094" i="5"/>
  <c r="S1102" i="5"/>
  <c r="S1103" i="5"/>
  <c r="I1107" i="5"/>
  <c r="AB1111" i="5"/>
  <c r="T1122" i="5"/>
  <c r="AB1123" i="5"/>
  <c r="X1126" i="5"/>
  <c r="S1165" i="5"/>
  <c r="R1166" i="5"/>
  <c r="AB1172" i="5"/>
  <c r="T1173" i="5"/>
  <c r="R1178" i="5"/>
  <c r="I1178" i="5"/>
  <c r="R1205" i="5"/>
  <c r="J1205" i="5"/>
  <c r="I1205" i="5"/>
  <c r="H1236" i="5"/>
  <c r="AB850" i="5"/>
  <c r="AB939" i="5"/>
  <c r="H954" i="5"/>
  <c r="AB1015" i="5"/>
  <c r="AB1035" i="5"/>
  <c r="AB1055" i="5"/>
  <c r="AB1066" i="5"/>
  <c r="AB1083" i="5"/>
  <c r="T1094" i="5"/>
  <c r="R1095" i="5"/>
  <c r="F1099" i="5"/>
  <c r="J1103" i="5"/>
  <c r="T1124" i="5"/>
  <c r="S1124" i="5"/>
  <c r="AB1130" i="5"/>
  <c r="I1136" i="5"/>
  <c r="J1136" i="5"/>
  <c r="F1154" i="5"/>
  <c r="J1154" i="5"/>
  <c r="AB1181" i="5"/>
  <c r="AB1189" i="5"/>
  <c r="S1201" i="5"/>
  <c r="AB1201" i="5"/>
  <c r="R1213" i="5"/>
  <c r="H1213" i="5"/>
  <c r="F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H1154" i="5"/>
  <c r="AB1159" i="5"/>
  <c r="R1161" i="5"/>
  <c r="H1161" i="5"/>
  <c r="AB1168" i="5"/>
  <c r="S1168" i="5"/>
  <c r="R1186" i="5"/>
  <c r="H1186" i="5"/>
  <c r="H1221" i="5"/>
  <c r="AB1239" i="5"/>
  <c r="S1239" i="5"/>
  <c r="S968" i="5"/>
  <c r="F991" i="5"/>
  <c r="AB1007" i="5"/>
  <c r="S1016" i="5"/>
  <c r="S1036" i="5"/>
  <c r="AB1047" i="5"/>
  <c r="S1056" i="5"/>
  <c r="AB1075" i="5"/>
  <c r="T1095" i="5"/>
  <c r="S1095" i="5"/>
  <c r="S1106" i="5"/>
  <c r="J1119" i="5"/>
  <c r="S1130" i="5"/>
  <c r="T1137" i="5"/>
  <c r="S1151" i="5"/>
  <c r="T1151" i="5"/>
  <c r="I1152" i="5"/>
  <c r="X1152" i="5"/>
  <c r="I1154" i="5"/>
  <c r="R1169" i="5"/>
  <c r="F1173" i="5"/>
  <c r="S1177" i="5"/>
  <c r="AB1184" i="5"/>
  <c r="S1197" i="5"/>
  <c r="J1249" i="5"/>
  <c r="J1261" i="5"/>
  <c r="I1261" i="5"/>
  <c r="F1261" i="5"/>
  <c r="AB1264" i="5"/>
  <c r="T1264" i="5"/>
  <c r="S1264" i="5"/>
  <c r="F1464"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T1541" i="5"/>
  <c r="S1541" i="5"/>
  <c r="J1546" i="5"/>
  <c r="H1546" i="5"/>
  <c r="I1546" i="5"/>
  <c r="F1546" i="5"/>
  <c r="T1676" i="5"/>
  <c r="S1676" i="5"/>
  <c r="S1207" i="5"/>
  <c r="S1220" i="5"/>
  <c r="AB1256" i="5"/>
  <c r="AB1269" i="5"/>
  <c r="T1271" i="5"/>
  <c r="S1271" i="5"/>
  <c r="S1279" i="5"/>
  <c r="AB1285" i="5"/>
  <c r="F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I1956" i="5"/>
  <c r="H1956" i="5"/>
  <c r="F1956" i="5"/>
  <c r="AB1451" i="5"/>
  <c r="J1515"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J1893" i="5"/>
  <c r="I1893" i="5"/>
  <c r="AB1232" i="5"/>
  <c r="AB1248" i="5"/>
  <c r="S1267" i="5"/>
  <c r="S1286" i="5"/>
  <c r="S1299" i="5"/>
  <c r="S1318" i="5"/>
  <c r="S1320" i="5"/>
  <c r="S1331" i="5"/>
  <c r="AB1336" i="5"/>
  <c r="T1338" i="5"/>
  <c r="S1358" i="5"/>
  <c r="S1380" i="5"/>
  <c r="AB1389" i="5"/>
  <c r="T1410" i="5"/>
  <c r="S1423" i="5"/>
  <c r="S1425" i="5"/>
  <c r="S1433"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R1486" i="5"/>
  <c r="R1490" i="5"/>
  <c r="S1493" i="5"/>
  <c r="I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X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X2025" i="5"/>
  <c r="T2030" i="5"/>
  <c r="AB2043" i="5"/>
  <c r="T2043" i="5"/>
  <c r="I2048" i="5"/>
  <c r="T2080" i="5"/>
  <c r="R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X2256"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X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AB2137" i="5"/>
  <c r="I2150" i="5"/>
  <c r="F2157" i="5"/>
  <c r="S2180" i="5"/>
  <c r="S2183" i="5"/>
  <c r="S2187" i="5"/>
  <c r="AB2221" i="5"/>
  <c r="S2226" i="5"/>
  <c r="T2240" i="5"/>
  <c r="AB2248" i="5"/>
  <c r="AB2257" i="5"/>
  <c r="AB2261" i="5"/>
  <c r="AB2265" i="5"/>
  <c r="AB2275" i="5"/>
  <c r="T2288" i="5"/>
  <c r="T2302" i="5"/>
  <c r="AB2302" i="5"/>
  <c r="H2303" i="5"/>
  <c r="AB2307"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F19" i="6"/>
  <c r="X304" i="5"/>
  <c r="AB23" i="5"/>
  <c r="AB115" i="5"/>
  <c r="R146" i="5"/>
  <c r="AB179" i="5"/>
  <c r="AB201" i="5"/>
  <c r="R234" i="5"/>
  <c r="X254" i="5"/>
  <c r="R254" i="5"/>
  <c r="X286" i="5"/>
  <c r="R286" i="5"/>
  <c r="AB320" i="5"/>
  <c r="AB412" i="5"/>
  <c r="AB105" i="5"/>
  <c r="R114" i="5"/>
  <c r="AB137" i="5"/>
  <c r="AB147" i="5"/>
  <c r="AB169" i="5"/>
  <c r="R178" i="5"/>
  <c r="AB240" i="5"/>
  <c r="X270" i="5"/>
  <c r="R270" i="5"/>
  <c r="R311" i="5"/>
  <c r="R5" i="5"/>
  <c r="AB20" i="5"/>
  <c r="AB28" i="5"/>
  <c r="AB34" i="5"/>
  <c r="AB38" i="5"/>
  <c r="AB42" i="5"/>
  <c r="AB46" i="5"/>
  <c r="AB50" i="5"/>
  <c r="AB54" i="5"/>
  <c r="AB58" i="5"/>
  <c r="AB62" i="5"/>
  <c r="AB66" i="5"/>
  <c r="AB70" i="5"/>
  <c r="AB74" i="5"/>
  <c r="AB78" i="5"/>
  <c r="AB82" i="5"/>
  <c r="AB86" i="5"/>
  <c r="AB90" i="5"/>
  <c r="AB94" i="5"/>
  <c r="AB98" i="5"/>
  <c r="AB104" i="5"/>
  <c r="AB117" i="5"/>
  <c r="R126" i="5"/>
  <c r="AB127" i="5"/>
  <c r="AB136" i="5"/>
  <c r="AB149" i="5"/>
  <c r="R158" i="5"/>
  <c r="AB159" i="5"/>
  <c r="AB168" i="5"/>
  <c r="AB181" i="5"/>
  <c r="R190" i="5"/>
  <c r="AB191" i="5"/>
  <c r="AB200" i="5"/>
  <c r="R218" i="5"/>
  <c r="AB220" i="5"/>
  <c r="X238" i="5"/>
  <c r="R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R202" i="5"/>
  <c r="AB203" i="5"/>
  <c r="AB209" i="5"/>
  <c r="R210" i="5"/>
  <c r="R242" i="5"/>
  <c r="R258" i="5"/>
  <c r="R274" i="5"/>
  <c r="R323" i="5"/>
  <c r="AB360" i="5"/>
  <c r="R371" i="5"/>
  <c r="J371" i="5"/>
  <c r="H371" i="5"/>
  <c r="I371" i="5"/>
  <c r="F371" i="5"/>
  <c r="R383" i="5"/>
  <c r="J383" i="5"/>
  <c r="T383" i="5"/>
  <c r="H383" i="5"/>
  <c r="I383" i="5"/>
  <c r="F383" i="5"/>
  <c r="AB119" i="5"/>
  <c r="AB151" i="5"/>
  <c r="AB173" i="5"/>
  <c r="R182" i="5"/>
  <c r="AB183" i="5"/>
  <c r="AB205" i="5"/>
  <c r="AB212" i="5"/>
  <c r="AB248" i="5"/>
  <c r="AB264" i="5"/>
  <c r="AB280" i="5"/>
  <c r="AB296" i="5"/>
  <c r="R319" i="5"/>
  <c r="AB328" i="5"/>
  <c r="X351" i="5"/>
  <c r="R351" i="5"/>
  <c r="AB358" i="5"/>
  <c r="R118" i="5"/>
  <c r="X5" i="5"/>
  <c r="AB121" i="5"/>
  <c r="R130" i="5"/>
  <c r="AB131" i="5"/>
  <c r="AB153" i="5"/>
  <c r="R162" i="5"/>
  <c r="AB163" i="5"/>
  <c r="AB185" i="5"/>
  <c r="AB195" i="5"/>
  <c r="R206" i="5"/>
  <c r="X209" i="5"/>
  <c r="X222" i="5"/>
  <c r="R222" i="5"/>
  <c r="AB224" i="5"/>
  <c r="R246" i="5"/>
  <c r="R278" i="5"/>
  <c r="X294" i="5"/>
  <c r="R294" i="5"/>
  <c r="R307" i="5"/>
  <c r="AB408" i="5"/>
  <c r="AB109" i="5"/>
  <c r="AB141" i="5"/>
  <c r="R150" i="5"/>
  <c r="AB19" i="5"/>
  <c r="AB27" i="5"/>
  <c r="X24" i="5"/>
  <c r="R28" i="5"/>
  <c r="X32" i="5"/>
  <c r="AB36" i="5"/>
  <c r="AB40" i="5"/>
  <c r="AB44" i="5"/>
  <c r="AB48" i="5"/>
  <c r="AB52" i="5"/>
  <c r="AB56" i="5"/>
  <c r="AB60" i="5"/>
  <c r="AB64" i="5"/>
  <c r="AB68" i="5"/>
  <c r="AB72" i="5"/>
  <c r="AB76" i="5"/>
  <c r="AB80" i="5"/>
  <c r="AB84" i="5"/>
  <c r="AB88" i="5"/>
  <c r="AB92" i="5"/>
  <c r="AB96" i="5"/>
  <c r="AB100" i="5"/>
  <c r="AB101" i="5"/>
  <c r="R110" i="5"/>
  <c r="AB111" i="5"/>
  <c r="AB120" i="5"/>
  <c r="AB133" i="5"/>
  <c r="R142" i="5"/>
  <c r="AB143" i="5"/>
  <c r="AB152" i="5"/>
  <c r="AB165" i="5"/>
  <c r="R174" i="5"/>
  <c r="AB175" i="5"/>
  <c r="AB184" i="5"/>
  <c r="AB197" i="5"/>
  <c r="AB208" i="5"/>
  <c r="AB228" i="5"/>
  <c r="AB252" i="5"/>
  <c r="AB268" i="5"/>
  <c r="AB284" i="5"/>
  <c r="AB300" i="5"/>
  <c r="AB303" i="5"/>
  <c r="AB312" i="5"/>
  <c r="R331" i="5"/>
  <c r="X384" i="5"/>
  <c r="J384" i="5"/>
  <c r="R384" i="5"/>
  <c r="I384" i="5"/>
  <c r="H384" i="5"/>
  <c r="F384" i="5"/>
  <c r="AB402" i="5"/>
  <c r="AB31" i="5"/>
  <c r="AB25" i="5"/>
  <c r="AB37" i="5"/>
  <c r="AB45" i="5"/>
  <c r="AB53" i="5"/>
  <c r="AB57" i="5"/>
  <c r="AB61" i="5"/>
  <c r="AB65" i="5"/>
  <c r="AB69" i="5"/>
  <c r="AB73" i="5"/>
  <c r="AB81" i="5"/>
  <c r="AB89" i="5"/>
  <c r="AB113" i="5"/>
  <c r="AB123" i="5"/>
  <c r="AB145" i="5"/>
  <c r="R154" i="5"/>
  <c r="AB155" i="5"/>
  <c r="AB177" i="5"/>
  <c r="X185" i="5"/>
  <c r="R186" i="5"/>
  <c r="AB187" i="5"/>
  <c r="R209" i="5"/>
  <c r="R214" i="5"/>
  <c r="AB216" i="5"/>
  <c r="R226" i="5"/>
  <c r="AB232" i="5"/>
  <c r="R250" i="5"/>
  <c r="R266" i="5"/>
  <c r="R282" i="5"/>
  <c r="R298" i="5"/>
  <c r="R327" i="5"/>
  <c r="X352" i="5"/>
  <c r="R352" i="5"/>
  <c r="AB361" i="5"/>
  <c r="I470" i="5"/>
  <c r="H470" i="5"/>
  <c r="F470" i="5"/>
  <c r="R470" i="5"/>
  <c r="J470" i="5"/>
  <c r="I494" i="5"/>
  <c r="H494" i="5"/>
  <c r="X494" i="5"/>
  <c r="R494" i="5"/>
  <c r="J494" i="5"/>
  <c r="F494" i="5"/>
  <c r="AB33" i="5"/>
  <c r="AB41" i="5"/>
  <c r="AB49" i="5"/>
  <c r="AB77" i="5"/>
  <c r="AB85" i="5"/>
  <c r="AB93" i="5"/>
  <c r="AB97" i="5"/>
  <c r="R122" i="5"/>
  <c r="R18" i="5"/>
  <c r="R23" i="5"/>
  <c r="R26" i="5"/>
  <c r="X30" i="5"/>
  <c r="R31" i="5"/>
  <c r="X40" i="5"/>
  <c r="X56" i="5"/>
  <c r="X64" i="5"/>
  <c r="X72" i="5"/>
  <c r="X80" i="5"/>
  <c r="X88" i="5"/>
  <c r="R102" i="5"/>
  <c r="AB103" i="5"/>
  <c r="AB112" i="5"/>
  <c r="AB125" i="5"/>
  <c r="R129" i="5"/>
  <c r="R134" i="5"/>
  <c r="AB135" i="5"/>
  <c r="AB144" i="5"/>
  <c r="AB157" i="5"/>
  <c r="R161" i="5"/>
  <c r="R166" i="5"/>
  <c r="AB167" i="5"/>
  <c r="AB176" i="5"/>
  <c r="AB189" i="5"/>
  <c r="R193" i="5"/>
  <c r="R198" i="5"/>
  <c r="AB199" i="5"/>
  <c r="R217" i="5"/>
  <c r="R230" i="5"/>
  <c r="AB236" i="5"/>
  <c r="AB256" i="5"/>
  <c r="AB272" i="5"/>
  <c r="AB288" i="5"/>
  <c r="R315" i="5"/>
  <c r="R335" i="5"/>
  <c r="AB336" i="5"/>
  <c r="X343" i="5"/>
  <c r="R343" i="5"/>
  <c r="X344" i="5"/>
  <c r="AB350" i="5"/>
  <c r="AB373" i="5"/>
  <c r="J376" i="5"/>
  <c r="H380" i="5"/>
  <c r="AB382" i="5"/>
  <c r="AB385" i="5"/>
  <c r="R471" i="5"/>
  <c r="J471" i="5"/>
  <c r="I471" i="5"/>
  <c r="H471" i="5"/>
  <c r="F471" i="5"/>
  <c r="R499" i="5"/>
  <c r="J499" i="5"/>
  <c r="I499" i="5"/>
  <c r="H499" i="5"/>
  <c r="F499" i="5"/>
  <c r="R531" i="5"/>
  <c r="J531" i="5"/>
  <c r="I531" i="5"/>
  <c r="H531" i="5"/>
  <c r="F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AB362" i="5"/>
  <c r="AB375" i="5"/>
  <c r="AB389" i="5"/>
  <c r="R459" i="5"/>
  <c r="F459" i="5"/>
  <c r="J459" i="5"/>
  <c r="I459" i="5"/>
  <c r="H459" i="5"/>
  <c r="AB305" i="5"/>
  <c r="AB313" i="5"/>
  <c r="AB321" i="5"/>
  <c r="AB329" i="5"/>
  <c r="AB342" i="5"/>
  <c r="X368" i="5"/>
  <c r="AB374" i="5"/>
  <c r="AB386" i="5"/>
  <c r="F387" i="5"/>
  <c r="AB393" i="5"/>
  <c r="R399" i="5"/>
  <c r="J399" i="5"/>
  <c r="H399" i="5"/>
  <c r="X464" i="5"/>
  <c r="I464" i="5"/>
  <c r="H464" i="5"/>
  <c r="F464" i="5"/>
  <c r="R464" i="5"/>
  <c r="J464" i="5"/>
  <c r="I478" i="5"/>
  <c r="H478" i="5"/>
  <c r="X478" i="5"/>
  <c r="R478" i="5"/>
  <c r="J478" i="5"/>
  <c r="F478" i="5"/>
  <c r="AB333" i="5"/>
  <c r="AB345" i="5"/>
  <c r="R347" i="5"/>
  <c r="AB354" i="5"/>
  <c r="AB367" i="5"/>
  <c r="AB377" i="5"/>
  <c r="J380" i="5"/>
  <c r="AB390" i="5"/>
  <c r="AB397" i="5"/>
  <c r="R483" i="5"/>
  <c r="J483" i="5"/>
  <c r="I483" i="5"/>
  <c r="H483" i="5"/>
  <c r="F483" i="5"/>
  <c r="I510" i="5"/>
  <c r="H510" i="5"/>
  <c r="R510" i="5"/>
  <c r="J510" i="5"/>
  <c r="F510" i="5"/>
  <c r="I542" i="5"/>
  <c r="H542" i="5"/>
  <c r="R542" i="5"/>
  <c r="J542" i="5"/>
  <c r="F542" i="5"/>
  <c r="R338" i="5"/>
  <c r="AB338" i="5"/>
  <c r="AB366" i="5"/>
  <c r="AB394" i="5"/>
  <c r="AB401" i="5"/>
  <c r="AB416" i="5"/>
  <c r="R515" i="5"/>
  <c r="J515" i="5"/>
  <c r="I515" i="5"/>
  <c r="H515" i="5"/>
  <c r="F515" i="5"/>
  <c r="R310" i="5"/>
  <c r="R318" i="5"/>
  <c r="R326" i="5"/>
  <c r="AB334" i="5"/>
  <c r="AB339" i="5"/>
  <c r="AB346" i="5"/>
  <c r="AB359" i="5"/>
  <c r="AB369" i="5"/>
  <c r="J372" i="5"/>
  <c r="H376" i="5"/>
  <c r="AB378" i="5"/>
  <c r="AB398" i="5"/>
  <c r="F399" i="5"/>
  <c r="AB405" i="5"/>
  <c r="AB409" i="5"/>
  <c r="AB351" i="5"/>
  <c r="AB352" i="5"/>
  <c r="R363"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X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X598" i="5"/>
  <c r="I600" i="5"/>
  <c r="I604" i="5"/>
  <c r="I612" i="5"/>
  <c r="X614" i="5"/>
  <c r="T614" i="5"/>
  <c r="I616" i="5"/>
  <c r="T618" i="5"/>
  <c r="I620" i="5"/>
  <c r="T622" i="5"/>
  <c r="I624" i="5"/>
  <c r="T626" i="5"/>
  <c r="I628" i="5"/>
  <c r="X630" i="5"/>
  <c r="T630" i="5"/>
  <c r="T634" i="5"/>
  <c r="I636" i="5"/>
  <c r="T638"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X744" i="5"/>
  <c r="AB747" i="5"/>
  <c r="R748" i="5"/>
  <c r="H748" i="5"/>
  <c r="H769" i="5"/>
  <c r="F769" i="5"/>
  <c r="X769" i="5"/>
  <c r="J769" i="5"/>
  <c r="I769" i="5"/>
  <c r="H785" i="5"/>
  <c r="F785" i="5"/>
  <c r="X785" i="5"/>
  <c r="J785" i="5"/>
  <c r="I785" i="5"/>
  <c r="J791" i="5"/>
  <c r="I791" i="5"/>
  <c r="H791" i="5"/>
  <c r="F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T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X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X761" i="5"/>
  <c r="J761" i="5"/>
  <c r="I761" i="5"/>
  <c r="H777" i="5"/>
  <c r="F777" i="5"/>
  <c r="J777" i="5"/>
  <c r="I777" i="5"/>
  <c r="H793" i="5"/>
  <c r="F793" i="5"/>
  <c r="J793" i="5"/>
  <c r="I793" i="5"/>
  <c r="H797" i="5"/>
  <c r="F797" i="5"/>
  <c r="J797" i="5"/>
  <c r="I797" i="5"/>
  <c r="X806"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X822" i="5"/>
  <c r="R822" i="5"/>
  <c r="J822" i="5"/>
  <c r="I822" i="5"/>
  <c r="F822"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T929" i="5"/>
  <c r="S929" i="5"/>
  <c r="AB953" i="5"/>
  <c r="T953" i="5"/>
  <c r="S953" i="5"/>
  <c r="R994" i="5"/>
  <c r="J994" i="5"/>
  <c r="I994" i="5"/>
  <c r="H994" i="5"/>
  <c r="F994" i="5"/>
  <c r="AB1045" i="5"/>
  <c r="T1045" i="5"/>
  <c r="S1045" i="5"/>
  <c r="J819" i="5"/>
  <c r="AB884" i="5"/>
  <c r="AB892" i="5"/>
  <c r="R906" i="5"/>
  <c r="I906" i="5"/>
  <c r="H906"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R860" i="5"/>
  <c r="I860" i="5"/>
  <c r="H860" i="5"/>
  <c r="F860" i="5"/>
  <c r="X864" i="5"/>
  <c r="R864" i="5"/>
  <c r="J864" i="5"/>
  <c r="I864" i="5"/>
  <c r="F864" i="5"/>
  <c r="AB896" i="5"/>
  <c r="S897" i="5"/>
  <c r="X904"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T1077" i="5"/>
  <c r="S1077" i="5"/>
  <c r="T805" i="5"/>
  <c r="S807" i="5"/>
  <c r="J810" i="5"/>
  <c r="T812" i="5"/>
  <c r="R824" i="5"/>
  <c r="I824" i="5"/>
  <c r="S831" i="5"/>
  <c r="F838" i="5"/>
  <c r="F846" i="5"/>
  <c r="R855" i="5"/>
  <c r="I855" i="5"/>
  <c r="H855" i="5"/>
  <c r="F855" i="5"/>
  <c r="R876" i="5"/>
  <c r="I876" i="5"/>
  <c r="H876" i="5"/>
  <c r="F876" i="5"/>
  <c r="X880"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T816" i="5"/>
  <c r="F819" i="5"/>
  <c r="AB821" i="5"/>
  <c r="H826" i="5"/>
  <c r="R826" i="5"/>
  <c r="AB827" i="5"/>
  <c r="R828" i="5"/>
  <c r="I828" i="5"/>
  <c r="J831" i="5"/>
  <c r="I831" i="5"/>
  <c r="X832" i="5"/>
  <c r="R832" i="5"/>
  <c r="I832" i="5"/>
  <c r="X840" i="5"/>
  <c r="R840" i="5"/>
  <c r="I840" i="5"/>
  <c r="F844" i="5"/>
  <c r="X848" i="5"/>
  <c r="R848" i="5"/>
  <c r="I848" i="5"/>
  <c r="AB855" i="5"/>
  <c r="I861" i="5"/>
  <c r="H861" i="5"/>
  <c r="F861" i="5"/>
  <c r="R861" i="5"/>
  <c r="T869" i="5"/>
  <c r="S869" i="5"/>
  <c r="AB897" i="5"/>
  <c r="AB908" i="5"/>
  <c r="I915" i="5"/>
  <c r="AB918" i="5"/>
  <c r="I925" i="5"/>
  <c r="J925" i="5"/>
  <c r="H925" i="5"/>
  <c r="F925" i="5"/>
  <c r="R925" i="5"/>
  <c r="I961" i="5"/>
  <c r="H961" i="5"/>
  <c r="X961" i="5"/>
  <c r="J961" i="5"/>
  <c r="F961" i="5"/>
  <c r="R961" i="5"/>
  <c r="AB1029" i="5"/>
  <c r="T1029" i="5"/>
  <c r="S1029" i="5"/>
  <c r="J1069" i="5"/>
  <c r="I1069" i="5"/>
  <c r="H1069" i="5"/>
  <c r="F1069" i="5"/>
  <c r="R1069" i="5"/>
  <c r="AB1109" i="5"/>
  <c r="T1109" i="5"/>
  <c r="S1109" i="5"/>
  <c r="I816" i="5"/>
  <c r="H819" i="5"/>
  <c r="F821" i="5"/>
  <c r="R821" i="5"/>
  <c r="I821" i="5"/>
  <c r="H830" i="5"/>
  <c r="X830" i="5"/>
  <c r="R830" i="5"/>
  <c r="I857" i="5"/>
  <c r="X857" i="5"/>
  <c r="R857" i="5"/>
  <c r="H857" i="5"/>
  <c r="AB859" i="5"/>
  <c r="AB863" i="5"/>
  <c r="AB871" i="5"/>
  <c r="I877" i="5"/>
  <c r="H877" i="5"/>
  <c r="F877" i="5"/>
  <c r="R877" i="5"/>
  <c r="T885" i="5"/>
  <c r="S885" i="5"/>
  <c r="R887" i="5"/>
  <c r="I887" i="5"/>
  <c r="H887" i="5"/>
  <c r="F887" i="5"/>
  <c r="X896" i="5"/>
  <c r="R896" i="5"/>
  <c r="J896" i="5"/>
  <c r="I896" i="5"/>
  <c r="F896" i="5"/>
  <c r="I905" i="5"/>
  <c r="X905" i="5"/>
  <c r="F905" i="5"/>
  <c r="R905" i="5"/>
  <c r="H905" i="5"/>
  <c r="T913" i="5"/>
  <c r="S913" i="5"/>
  <c r="R922" i="5"/>
  <c r="I922" i="5"/>
  <c r="H922" i="5"/>
  <c r="AB928" i="5"/>
  <c r="I949" i="5"/>
  <c r="R949" i="5"/>
  <c r="J949" i="5"/>
  <c r="H949" i="5"/>
  <c r="F949" i="5"/>
  <c r="I965" i="5"/>
  <c r="H965" i="5"/>
  <c r="F965" i="5"/>
  <c r="R965" i="5"/>
  <c r="J965" i="5"/>
  <c r="AB969" i="5"/>
  <c r="T969" i="5"/>
  <c r="S969" i="5"/>
  <c r="AB1061" i="5"/>
  <c r="T1061" i="5"/>
  <c r="S1061" i="5"/>
  <c r="AB810" i="5"/>
  <c r="T810" i="5"/>
  <c r="H810" i="5"/>
  <c r="AB816" i="5"/>
  <c r="I819" i="5"/>
  <c r="F825" i="5"/>
  <c r="X825" i="5"/>
  <c r="R825" i="5"/>
  <c r="I825" i="5"/>
  <c r="I838" i="5"/>
  <c r="H838" i="5"/>
  <c r="X838" i="5"/>
  <c r="R838" i="5"/>
  <c r="I846" i="5"/>
  <c r="H846" i="5"/>
  <c r="R846" i="5"/>
  <c r="F857" i="5"/>
  <c r="I873" i="5"/>
  <c r="X873" i="5"/>
  <c r="R873" i="5"/>
  <c r="H873" i="5"/>
  <c r="J877" i="5"/>
  <c r="I893" i="5"/>
  <c r="H893" i="5"/>
  <c r="F893" i="5"/>
  <c r="R893" i="5"/>
  <c r="J905" i="5"/>
  <c r="R908" i="5"/>
  <c r="J908" i="5"/>
  <c r="I908" i="5"/>
  <c r="H908" i="5"/>
  <c r="F908" i="5"/>
  <c r="X920" i="5"/>
  <c r="R920" i="5"/>
  <c r="H920" i="5"/>
  <c r="F920" i="5"/>
  <c r="I920" i="5"/>
  <c r="F922" i="5"/>
  <c r="X936" i="5"/>
  <c r="R936" i="5"/>
  <c r="H936" i="5"/>
  <c r="J936" i="5"/>
  <c r="I936" i="5"/>
  <c r="F936" i="5"/>
  <c r="R963" i="5"/>
  <c r="I963" i="5"/>
  <c r="J963" i="5"/>
  <c r="H963" i="5"/>
  <c r="F963" i="5"/>
  <c r="J1101" i="5"/>
  <c r="I1101" i="5"/>
  <c r="H1101" i="5"/>
  <c r="F1101" i="5"/>
  <c r="R1101" i="5"/>
  <c r="I865" i="5"/>
  <c r="I881" i="5"/>
  <c r="I897" i="5"/>
  <c r="I913" i="5"/>
  <c r="X913" i="5"/>
  <c r="AB934" i="5"/>
  <c r="R951" i="5"/>
  <c r="I951" i="5"/>
  <c r="F959" i="5"/>
  <c r="R975" i="5"/>
  <c r="I975" i="5"/>
  <c r="AB997" i="5"/>
  <c r="T997"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J941" i="5"/>
  <c r="F948" i="5"/>
  <c r="F955" i="5"/>
  <c r="R986" i="5"/>
  <c r="J986" i="5"/>
  <c r="I986" i="5"/>
  <c r="R998" i="5"/>
  <c r="J998" i="5"/>
  <c r="I998" i="5"/>
  <c r="H998" i="5"/>
  <c r="F998" i="5"/>
  <c r="AB1004" i="5"/>
  <c r="AB1013" i="5"/>
  <c r="T1013" i="5"/>
  <c r="AB1020" i="5"/>
  <c r="R1026" i="5"/>
  <c r="J1026" i="5"/>
  <c r="I1026" i="5"/>
  <c r="F1026" i="5"/>
  <c r="R1122" i="5"/>
  <c r="J1122" i="5"/>
  <c r="I1122" i="5"/>
  <c r="H1122" i="5"/>
  <c r="F1122" i="5"/>
  <c r="AB1143" i="5"/>
  <c r="T1143" i="5"/>
  <c r="S1143" i="5"/>
  <c r="AB1144" i="5"/>
  <c r="AB1456" i="5"/>
  <c r="T1456" i="5"/>
  <c r="S1456" i="5"/>
  <c r="AB965" i="5"/>
  <c r="T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T1005" i="5"/>
  <c r="J1009" i="5"/>
  <c r="I1009" i="5"/>
  <c r="H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X1240" i="5"/>
  <c r="R1240" i="5"/>
  <c r="AB1262" i="5"/>
  <c r="R1513" i="5"/>
  <c r="J1513" i="5"/>
  <c r="H1513" i="5"/>
  <c r="I1513" i="5"/>
  <c r="F1513" i="5"/>
  <c r="I885" i="5"/>
  <c r="I901" i="5"/>
  <c r="I917" i="5"/>
  <c r="I933" i="5"/>
  <c r="T945" i="5"/>
  <c r="S945" i="5"/>
  <c r="I953" i="5"/>
  <c r="H953" i="5"/>
  <c r="R954" i="5"/>
  <c r="J954" i="5"/>
  <c r="I954" i="5"/>
  <c r="R955" i="5"/>
  <c r="I955" i="5"/>
  <c r="J955" i="5"/>
  <c r="J1001" i="5"/>
  <c r="I1001" i="5"/>
  <c r="H1001" i="5"/>
  <c r="R1001" i="5"/>
  <c r="J1013" i="5"/>
  <c r="I1013" i="5"/>
  <c r="H1013" i="5"/>
  <c r="F1013" i="5"/>
  <c r="AB1036" i="5"/>
  <c r="J1041" i="5"/>
  <c r="I1041" i="5"/>
  <c r="H1041" i="5"/>
  <c r="X1041" i="5"/>
  <c r="R1041" i="5"/>
  <c r="F1041" i="5"/>
  <c r="AB1052" i="5"/>
  <c r="J1057" i="5"/>
  <c r="I1057" i="5"/>
  <c r="H1057" i="5"/>
  <c r="X1057" i="5"/>
  <c r="R1057" i="5"/>
  <c r="F1057" i="5"/>
  <c r="AB1068" i="5"/>
  <c r="J1073" i="5"/>
  <c r="I1073" i="5"/>
  <c r="H1073" i="5"/>
  <c r="R1073" i="5"/>
  <c r="F1073" i="5"/>
  <c r="AB1084" i="5"/>
  <c r="J1089" i="5"/>
  <c r="I1089" i="5"/>
  <c r="H1089" i="5"/>
  <c r="R1089" i="5"/>
  <c r="F1089" i="5"/>
  <c r="AB1100" i="5"/>
  <c r="J1105" i="5"/>
  <c r="I1105" i="5"/>
  <c r="H1105" i="5"/>
  <c r="X1105" i="5"/>
  <c r="R1105" i="5"/>
  <c r="F1105" i="5"/>
  <c r="AB1116" i="5"/>
  <c r="AB1136" i="5"/>
  <c r="T1136" i="5"/>
  <c r="S1136" i="5"/>
  <c r="H1199" i="5"/>
  <c r="R1199" i="5"/>
  <c r="J1199" i="5"/>
  <c r="F1199" i="5"/>
  <c r="I1199" i="5"/>
  <c r="H1240" i="5"/>
  <c r="AB1258" i="5"/>
  <c r="S1418" i="5"/>
  <c r="T1418" i="5"/>
  <c r="AB1418" i="5"/>
  <c r="AB901" i="5"/>
  <c r="AB906" i="5"/>
  <c r="AB917" i="5"/>
  <c r="AB922" i="5"/>
  <c r="R934" i="5"/>
  <c r="I934" i="5"/>
  <c r="R935" i="5"/>
  <c r="I935" i="5"/>
  <c r="J935"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X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F1157" i="5"/>
  <c r="R1189" i="5"/>
  <c r="J1189" i="5"/>
  <c r="I1189" i="5"/>
  <c r="X1200" i="5"/>
  <c r="J1208" i="5"/>
  <c r="I1208" i="5"/>
  <c r="F1208" i="5"/>
  <c r="X1208" i="5"/>
  <c r="J1216" i="5"/>
  <c r="I1216" i="5"/>
  <c r="X1216" i="5"/>
  <c r="H1216" i="5"/>
  <c r="F1221" i="5"/>
  <c r="J1248" i="5"/>
  <c r="I1248" i="5"/>
  <c r="X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R1264" i="5"/>
  <c r="J1264" i="5"/>
  <c r="I1264" i="5"/>
  <c r="F1264" i="5"/>
  <c r="X1264" i="5"/>
  <c r="R1268" i="5"/>
  <c r="J1268" i="5"/>
  <c r="I1268" i="5"/>
  <c r="F1268" i="5"/>
  <c r="R1276" i="5"/>
  <c r="J1276" i="5"/>
  <c r="I1276" i="5"/>
  <c r="F1276" i="5"/>
  <c r="R1280" i="5"/>
  <c r="J1280" i="5"/>
  <c r="I1280" i="5"/>
  <c r="F1280" i="5"/>
  <c r="X1280" i="5"/>
  <c r="R1284" i="5"/>
  <c r="J1284" i="5"/>
  <c r="I1284" i="5"/>
  <c r="F1284" i="5"/>
  <c r="R1288" i="5"/>
  <c r="J1288" i="5"/>
  <c r="I1288" i="5"/>
  <c r="F1288" i="5"/>
  <c r="X1288" i="5"/>
  <c r="R1296" i="5"/>
  <c r="J1296" i="5"/>
  <c r="I1296" i="5"/>
  <c r="F1296" i="5"/>
  <c r="X1296" i="5"/>
  <c r="R1300" i="5"/>
  <c r="J1300" i="5"/>
  <c r="I1300" i="5"/>
  <c r="F1300" i="5"/>
  <c r="R1312" i="5"/>
  <c r="J1312" i="5"/>
  <c r="I1312" i="5"/>
  <c r="F1312" i="5"/>
  <c r="X1312" i="5"/>
  <c r="R1316" i="5"/>
  <c r="J1316" i="5"/>
  <c r="I1316" i="5"/>
  <c r="F1316" i="5"/>
  <c r="R1324" i="5"/>
  <c r="J1324" i="5"/>
  <c r="I1324" i="5"/>
  <c r="F1324" i="5"/>
  <c r="R1328" i="5"/>
  <c r="J1328" i="5"/>
  <c r="I1328" i="5"/>
  <c r="F1328" i="5"/>
  <c r="X1328" i="5"/>
  <c r="R1332" i="5"/>
  <c r="J1332" i="5"/>
  <c r="I1332" i="5"/>
  <c r="F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T1134" i="5"/>
  <c r="AB1134" i="5"/>
  <c r="X1142"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F1363" i="5"/>
  <c r="AB1367" i="5"/>
  <c r="T1367" i="5"/>
  <c r="AB1387" i="5"/>
  <c r="T1387" i="5"/>
  <c r="S1387" i="5"/>
  <c r="I1393" i="5"/>
  <c r="R1393" i="5"/>
  <c r="J1393" i="5"/>
  <c r="H1393" i="5"/>
  <c r="R1396" i="5"/>
  <c r="J1396" i="5"/>
  <c r="S1402" i="5"/>
  <c r="AB1402" i="5"/>
  <c r="T1402" i="5"/>
  <c r="H1424" i="5"/>
  <c r="X1424" i="5"/>
  <c r="F1424" i="5"/>
  <c r="R1424" i="5"/>
  <c r="I1424" i="5"/>
  <c r="J1478" i="5"/>
  <c r="I1478" i="5"/>
  <c r="F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F1410" i="5"/>
  <c r="J1458" i="5"/>
  <c r="I1458" i="5"/>
  <c r="R1458" i="5"/>
  <c r="H1458" i="5"/>
  <c r="F1458" i="5"/>
  <c r="J1469" i="5"/>
  <c r="H1469" i="5"/>
  <c r="R1469" i="5"/>
  <c r="AB1484" i="5"/>
  <c r="T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I1369" i="5"/>
  <c r="F1369" i="5"/>
  <c r="T1373" i="5"/>
  <c r="S1373" i="5"/>
  <c r="I1379" i="5"/>
  <c r="H1379" i="5"/>
  <c r="F1379" i="5"/>
  <c r="AB1383" i="5"/>
  <c r="T1383" i="5"/>
  <c r="J1395" i="5"/>
  <c r="I1396" i="5"/>
  <c r="AB1436" i="5"/>
  <c r="T1436" i="5"/>
  <c r="S1436" i="5"/>
  <c r="F1442" i="5"/>
  <c r="J1446" i="5"/>
  <c r="I1446" i="5"/>
  <c r="F1446" i="5"/>
  <c r="R1446" i="5"/>
  <c r="F1459" i="5"/>
  <c r="R1459" i="5"/>
  <c r="J1459" i="5"/>
  <c r="I1459" i="5"/>
  <c r="H1459" i="5"/>
  <c r="R1529" i="5"/>
  <c r="J1529" i="5"/>
  <c r="H1529" i="5"/>
  <c r="I1529" i="5"/>
  <c r="X1529" i="5"/>
  <c r="J1535" i="5"/>
  <c r="T1549" i="5"/>
  <c r="S1549" i="5"/>
  <c r="AB1549" i="5"/>
  <c r="S1138" i="5"/>
  <c r="S1140" i="5"/>
  <c r="S1147" i="5"/>
  <c r="S1154" i="5"/>
  <c r="T1159" i="5"/>
  <c r="F1178" i="5"/>
  <c r="AB1178" i="5"/>
  <c r="T1191" i="5"/>
  <c r="F1210" i="5"/>
  <c r="AB1210" i="5"/>
  <c r="T1223" i="5"/>
  <c r="I1241" i="5"/>
  <c r="F1242" i="5"/>
  <c r="AB1242" i="5"/>
  <c r="I1357" i="5"/>
  <c r="H1357" i="5"/>
  <c r="F1357" i="5"/>
  <c r="I1367" i="5"/>
  <c r="H1367" i="5"/>
  <c r="R1367" i="5"/>
  <c r="J1367" i="5"/>
  <c r="T1393" i="5"/>
  <c r="S1393" i="5"/>
  <c r="AB1399" i="5"/>
  <c r="T1399" i="5"/>
  <c r="S1399" i="5"/>
  <c r="H1408" i="5"/>
  <c r="X1408" i="5"/>
  <c r="F1408" i="5"/>
  <c r="AB1414" i="5"/>
  <c r="H1416" i="5"/>
  <c r="X1416" i="5"/>
  <c r="F1416" i="5"/>
  <c r="R1416" i="5"/>
  <c r="J1416" i="5"/>
  <c r="I1416" i="5"/>
  <c r="I1418" i="5"/>
  <c r="J1418" i="5"/>
  <c r="H1418" i="5"/>
  <c r="R1418" i="5"/>
  <c r="F1418" i="5"/>
  <c r="AB1428" i="5"/>
  <c r="T1428" i="5"/>
  <c r="S1428" i="5"/>
  <c r="J1462" i="5"/>
  <c r="I1462" i="5"/>
  <c r="R1462" i="5"/>
  <c r="F1462" i="5"/>
  <c r="AB1473" i="5"/>
  <c r="T1473" i="5"/>
  <c r="S1473" i="5"/>
  <c r="J1474" i="5"/>
  <c r="I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J1498" i="5"/>
  <c r="I1498" i="5"/>
  <c r="R1498" i="5"/>
  <c r="H1498" i="5"/>
  <c r="R1509" i="5"/>
  <c r="J1509" i="5"/>
  <c r="H1509" i="5"/>
  <c r="F1509" i="5"/>
  <c r="AB1532" i="5"/>
  <c r="T1532" i="5"/>
  <c r="S1532" i="5"/>
  <c r="S1142" i="5"/>
  <c r="AB1167" i="5"/>
  <c r="T1167" i="5"/>
  <c r="F1186" i="5"/>
  <c r="AB1186" i="5"/>
  <c r="AB1199" i="5"/>
  <c r="T1199" i="5"/>
  <c r="F1218" i="5"/>
  <c r="AB1218" i="5"/>
  <c r="AB1231" i="5"/>
  <c r="T1231" i="5"/>
  <c r="F1250" i="5"/>
  <c r="AB1250" i="5"/>
  <c r="R1257" i="5"/>
  <c r="R1261" i="5"/>
  <c r="X1265" i="5"/>
  <c r="R1265" i="5"/>
  <c r="R1269" i="5"/>
  <c r="R1273" i="5"/>
  <c r="R1277" i="5"/>
  <c r="R1281" i="5"/>
  <c r="R1289" i="5"/>
  <c r="R1293" i="5"/>
  <c r="R1301" i="5"/>
  <c r="R1305" i="5"/>
  <c r="R1309" i="5"/>
  <c r="R1321" i="5"/>
  <c r="R1333" i="5"/>
  <c r="R1337" i="5"/>
  <c r="J1353" i="5"/>
  <c r="R1356" i="5"/>
  <c r="J1356" i="5"/>
  <c r="I1356" i="5"/>
  <c r="H1356"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J1442" i="5"/>
  <c r="I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T1359" i="5"/>
  <c r="AB1364" i="5"/>
  <c r="I1365" i="5"/>
  <c r="AB1375" i="5"/>
  <c r="T1375" i="5"/>
  <c r="AB1380" i="5"/>
  <c r="AB1391" i="5"/>
  <c r="T1391" i="5"/>
  <c r="AB1396" i="5"/>
  <c r="I1397" i="5"/>
  <c r="I1402" i="5"/>
  <c r="J1402" i="5"/>
  <c r="H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J1490" i="5"/>
  <c r="I1490" i="5"/>
  <c r="I1504" i="5"/>
  <c r="H1504" i="5"/>
  <c r="F1504" i="5"/>
  <c r="X1504" i="5"/>
  <c r="F1507" i="5"/>
  <c r="R1507" i="5"/>
  <c r="AB1508" i="5"/>
  <c r="T1508" i="5"/>
  <c r="T1514" i="5"/>
  <c r="S1514" i="5"/>
  <c r="AB1514" i="5"/>
  <c r="J1522" i="5"/>
  <c r="I1522" i="5"/>
  <c r="AB1626" i="5"/>
  <c r="T1626" i="5"/>
  <c r="S1626" i="5"/>
  <c r="AB1698" i="5"/>
  <c r="T1698" i="5"/>
  <c r="S1698" i="5"/>
  <c r="T2470" i="5"/>
  <c r="AB2470" i="5"/>
  <c r="S2470" i="5"/>
  <c r="J1406" i="5"/>
  <c r="J1414" i="5"/>
  <c r="J1422" i="5"/>
  <c r="AB1423" i="5"/>
  <c r="J1430" i="5"/>
  <c r="AB1431" i="5"/>
  <c r="AB1439" i="5"/>
  <c r="AB1444" i="5"/>
  <c r="T1444" i="5"/>
  <c r="AB1445" i="5"/>
  <c r="H1448" i="5"/>
  <c r="F1448" i="5"/>
  <c r="X1448" i="5"/>
  <c r="J1450" i="5"/>
  <c r="I1450" i="5"/>
  <c r="F1467" i="5"/>
  <c r="R1467" i="5"/>
  <c r="AB1476" i="5"/>
  <c r="T1476" i="5"/>
  <c r="AB1477" i="5"/>
  <c r="H1480" i="5"/>
  <c r="F1480" i="5"/>
  <c r="X1480" i="5"/>
  <c r="AB1485" i="5"/>
  <c r="T1486" i="5"/>
  <c r="S1486" i="5"/>
  <c r="AB1486" i="5"/>
  <c r="F1511" i="5"/>
  <c r="R1511" i="5"/>
  <c r="AB1512" i="5"/>
  <c r="T1512" i="5"/>
  <c r="AB1517" i="5"/>
  <c r="T1518" i="5"/>
  <c r="S1518" i="5"/>
  <c r="AB151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X1488" i="5"/>
  <c r="F1490" i="5"/>
  <c r="F1491" i="5"/>
  <c r="R1491" i="5"/>
  <c r="AB1492" i="5"/>
  <c r="T1492" i="5"/>
  <c r="T1498" i="5"/>
  <c r="S1498" i="5"/>
  <c r="AB1498"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AB1411" i="5"/>
  <c r="X1414" i="5"/>
  <c r="AB1419" i="5"/>
  <c r="J1423" i="5"/>
  <c r="AB1427" i="5"/>
  <c r="X1430" i="5"/>
  <c r="J1431" i="5"/>
  <c r="AB1435" i="5"/>
  <c r="J1439" i="5"/>
  <c r="R1448" i="5"/>
  <c r="R1449" i="5"/>
  <c r="F1451" i="5"/>
  <c r="R1451" i="5"/>
  <c r="H1454" i="5"/>
  <c r="AB1460" i="5"/>
  <c r="T1460" i="5"/>
  <c r="AB1461" i="5"/>
  <c r="J1466" i="5"/>
  <c r="I1466" i="5"/>
  <c r="I1467" i="5"/>
  <c r="R1480" i="5"/>
  <c r="I1492" i="5"/>
  <c r="H1492" i="5"/>
  <c r="F1492" i="5"/>
  <c r="F1495" i="5"/>
  <c r="R1495" i="5"/>
  <c r="AB1496" i="5"/>
  <c r="T1496" i="5"/>
  <c r="AB1501" i="5"/>
  <c r="T1502" i="5"/>
  <c r="S1502" i="5"/>
  <c r="AB1502" i="5"/>
  <c r="S1508" i="5"/>
  <c r="J1511"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T1744" i="5"/>
  <c r="S1744" i="5"/>
  <c r="AB1744" i="5"/>
  <c r="H1749" i="5"/>
  <c r="AB1910" i="5"/>
  <c r="T1910" i="5"/>
  <c r="S1910" i="5"/>
  <c r="AB1547" i="5"/>
  <c r="X1553" i="5"/>
  <c r="J1553" i="5"/>
  <c r="R1557" i="5"/>
  <c r="J1557" i="5"/>
  <c r="R1561" i="5"/>
  <c r="J1561" i="5"/>
  <c r="R1565" i="5"/>
  <c r="J1565" i="5"/>
  <c r="X1569" i="5"/>
  <c r="R1569" i="5"/>
  <c r="J1569" i="5"/>
  <c r="R1573" i="5"/>
  <c r="J1573" i="5"/>
  <c r="R1577" i="5"/>
  <c r="R1581" i="5"/>
  <c r="J1581" i="5"/>
  <c r="X1585" i="5"/>
  <c r="R1585" i="5"/>
  <c r="J1585" i="5"/>
  <c r="R1589" i="5"/>
  <c r="J1589" i="5"/>
  <c r="R1597" i="5"/>
  <c r="J1597" i="5"/>
  <c r="X1601" i="5"/>
  <c r="R1601" i="5"/>
  <c r="J1601" i="5"/>
  <c r="R1605" i="5"/>
  <c r="J1605" i="5"/>
  <c r="R1613" i="5"/>
  <c r="J1613" i="5"/>
  <c r="R1617" i="5"/>
  <c r="J1617"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F1778" i="5"/>
  <c r="R1778" i="5"/>
  <c r="J1778" i="5"/>
  <c r="I1778" i="5"/>
  <c r="F1782" i="5"/>
  <c r="R1782" i="5"/>
  <c r="J1782" i="5"/>
  <c r="I1782" i="5"/>
  <c r="F1790" i="5"/>
  <c r="X1790" i="5"/>
  <c r="R1790" i="5"/>
  <c r="J1790" i="5"/>
  <c r="I1790" i="5"/>
  <c r="F1794" i="5"/>
  <c r="R1794" i="5"/>
  <c r="J1794" i="5"/>
  <c r="I1794" i="5"/>
  <c r="F1798" i="5"/>
  <c r="X1798" i="5"/>
  <c r="R1798" i="5"/>
  <c r="J1798" i="5"/>
  <c r="I1798" i="5"/>
  <c r="F1802" i="5"/>
  <c r="R1802" i="5"/>
  <c r="J1802" i="5"/>
  <c r="I1802" i="5"/>
  <c r="F1806" i="5"/>
  <c r="R1806" i="5"/>
  <c r="J1806" i="5"/>
  <c r="I1806" i="5"/>
  <c r="AB1846" i="5"/>
  <c r="AB1850" i="5"/>
  <c r="AB1862" i="5"/>
  <c r="R1875" i="5"/>
  <c r="H1875" i="5"/>
  <c r="J1875" i="5"/>
  <c r="I1875" i="5"/>
  <c r="F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X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H1790" i="5"/>
  <c r="H1794" i="5"/>
  <c r="H1798" i="5"/>
  <c r="H1802" i="5"/>
  <c r="H1806" i="5"/>
  <c r="F1827" i="5"/>
  <c r="R1828"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R1995" i="5"/>
  <c r="J1995" i="5"/>
  <c r="I1995" i="5"/>
  <c r="H1995" i="5"/>
  <c r="F1995" i="5"/>
  <c r="AB2021" i="5"/>
  <c r="T2021" i="5"/>
  <c r="S2021" i="5"/>
  <c r="R2084" i="5"/>
  <c r="J2084" i="5"/>
  <c r="I2084" i="5"/>
  <c r="H2084" i="5"/>
  <c r="F2084" i="5"/>
  <c r="F1816" i="5"/>
  <c r="T1817" i="5"/>
  <c r="AB1826" i="5"/>
  <c r="R1843" i="5"/>
  <c r="J1843" i="5"/>
  <c r="R1847" i="5"/>
  <c r="J1847" i="5"/>
  <c r="H1847"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X1838" i="5"/>
  <c r="I1840" i="5"/>
  <c r="F1843" i="5"/>
  <c r="AB1866" i="5"/>
  <c r="R1903" i="5"/>
  <c r="H1903" i="5"/>
  <c r="F1903" i="5"/>
  <c r="X1903" i="5"/>
  <c r="J1903" i="5"/>
  <c r="AB1914" i="5"/>
  <c r="T1914" i="5"/>
  <c r="S1914" i="5"/>
  <c r="T1941" i="5"/>
  <c r="S1941" i="5"/>
  <c r="R1963" i="5"/>
  <c r="J1963" i="5"/>
  <c r="I1963" i="5"/>
  <c r="H1963" i="5"/>
  <c r="F1963" i="5"/>
  <c r="AB1989" i="5"/>
  <c r="T1989" i="5"/>
  <c r="S1989" i="5"/>
  <c r="R2039" i="5"/>
  <c r="J2039" i="5"/>
  <c r="I2039" i="5"/>
  <c r="H2039" i="5"/>
  <c r="F2039"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T1897" i="5"/>
  <c r="S1900" i="5"/>
  <c r="I1902" i="5"/>
  <c r="F1902" i="5"/>
  <c r="X1902" i="5"/>
  <c r="T1905" i="5"/>
  <c r="J1908" i="5"/>
  <c r="X1912" i="5"/>
  <c r="J1912" i="5"/>
  <c r="J1916" i="5"/>
  <c r="X1920"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X1897" i="5"/>
  <c r="AB1897" i="5"/>
  <c r="AB1905" i="5"/>
  <c r="AB1908" i="5"/>
  <c r="AB1912" i="5"/>
  <c r="AB1916" i="5"/>
  <c r="AB1920" i="5"/>
  <c r="T1925" i="5"/>
  <c r="S1925" i="5"/>
  <c r="R1927" i="5"/>
  <c r="J1927" i="5"/>
  <c r="I1927" i="5"/>
  <c r="H1927" i="5"/>
  <c r="X1928" i="5"/>
  <c r="R1928" i="5"/>
  <c r="J1928"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X2096"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AB1874" i="5"/>
  <c r="R1878" i="5"/>
  <c r="AB1882" i="5"/>
  <c r="H1884" i="5"/>
  <c r="R1886" i="5"/>
  <c r="X1890" i="5"/>
  <c r="AB1890" i="5"/>
  <c r="H1892" i="5"/>
  <c r="R1894" i="5"/>
  <c r="R1902" i="5"/>
  <c r="H1908" i="5"/>
  <c r="AB1909" i="5"/>
  <c r="H1912" i="5"/>
  <c r="AB1913" i="5"/>
  <c r="H1916" i="5"/>
  <c r="AB1917" i="5"/>
  <c r="H1920" i="5"/>
  <c r="AB1921"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X2056" i="5"/>
  <c r="S2062" i="5"/>
  <c r="X2064"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X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60" i="5"/>
  <c r="X1968" i="5"/>
  <c r="X1976" i="5"/>
  <c r="X1984" i="5"/>
  <c r="X1992" i="5"/>
  <c r="X2000" i="5"/>
  <c r="X2008" i="5"/>
  <c r="X2024" i="5"/>
  <c r="X2032" i="5"/>
  <c r="X2040" i="5"/>
  <c r="X2048" i="5"/>
  <c r="R2053" i="5"/>
  <c r="R2061" i="5"/>
  <c r="X2080" i="5"/>
  <c r="X208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T2150" i="5"/>
  <c r="S2150" i="5"/>
  <c r="S2167" i="5"/>
  <c r="H2174" i="5"/>
  <c r="H2178" i="5"/>
  <c r="F2178" i="5"/>
  <c r="S2179"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X2248" i="5"/>
  <c r="R2267" i="5"/>
  <c r="R2311" i="5"/>
  <c r="J2311" i="5"/>
  <c r="I2311" i="5"/>
  <c r="H2311" i="5"/>
  <c r="F2311" i="5"/>
  <c r="J2358" i="5"/>
  <c r="H2358" i="5"/>
  <c r="R2358" i="5"/>
  <c r="I2358" i="5"/>
  <c r="F2358" i="5"/>
  <c r="H2118" i="5"/>
  <c r="AB2119" i="5"/>
  <c r="S2119" i="5"/>
  <c r="S2120" i="5"/>
  <c r="F2122" i="5"/>
  <c r="AB2123" i="5"/>
  <c r="AB2124" i="5"/>
  <c r="H2126" i="5"/>
  <c r="X2128" i="5"/>
  <c r="AB2131" i="5"/>
  <c r="AB2136" i="5"/>
  <c r="R2137" i="5"/>
  <c r="J2137" i="5"/>
  <c r="J2142" i="5"/>
  <c r="I2146" i="5"/>
  <c r="T2158" i="5"/>
  <c r="S2158" i="5"/>
  <c r="AB2163" i="5"/>
  <c r="AB2168" i="5"/>
  <c r="R2169" i="5"/>
  <c r="J2169" i="5"/>
  <c r="J2174" i="5"/>
  <c r="J2178" i="5"/>
  <c r="AB2183" i="5"/>
  <c r="H2190" i="5"/>
  <c r="F2190" i="5"/>
  <c r="X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T2134" i="5"/>
  <c r="S2134" i="5"/>
  <c r="AB2139" i="5"/>
  <c r="AB2144" i="5"/>
  <c r="R2145" i="5"/>
  <c r="J2145" i="5"/>
  <c r="F2162" i="5"/>
  <c r="T2166"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X2240" i="5"/>
  <c r="AB2276" i="5"/>
  <c r="T2276" i="5"/>
  <c r="S2276" i="5"/>
  <c r="R2285" i="5"/>
  <c r="J2285" i="5"/>
  <c r="I2285" i="5"/>
  <c r="H2285" i="5"/>
  <c r="F2285" i="5"/>
  <c r="J2177" i="5"/>
  <c r="J2185" i="5"/>
  <c r="J2189" i="5"/>
  <c r="AB2199" i="5"/>
  <c r="T2199" i="5"/>
  <c r="AB2207" i="5"/>
  <c r="T2207" i="5"/>
  <c r="H2207" i="5"/>
  <c r="AB2215" i="5"/>
  <c r="T2215" i="5"/>
  <c r="AB2223" i="5"/>
  <c r="T2223" i="5"/>
  <c r="AB2228" i="5"/>
  <c r="AB2251" i="5"/>
  <c r="T2251"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F2291" i="5"/>
  <c r="R2291" i="5"/>
  <c r="J2291" i="5"/>
  <c r="I2291" i="5"/>
  <c r="J2307" i="5"/>
  <c r="F2307" i="5"/>
  <c r="I2307" i="5"/>
  <c r="H2307" i="5"/>
  <c r="I2312" i="5"/>
  <c r="H2312" i="5"/>
  <c r="R2312" i="5"/>
  <c r="J2312" i="5"/>
  <c r="F2312" i="5"/>
  <c r="X2312" i="5"/>
  <c r="X2322" i="5"/>
  <c r="R2322" i="5"/>
  <c r="F2322" i="5"/>
  <c r="J2322" i="5"/>
  <c r="I2322" i="5"/>
  <c r="H2322" i="5"/>
  <c r="R2349" i="5"/>
  <c r="J2349" i="5"/>
  <c r="I2349" i="5"/>
  <c r="H2349" i="5"/>
  <c r="F2349" i="5"/>
  <c r="F2194" i="5"/>
  <c r="R2194" i="5"/>
  <c r="F2199" i="5"/>
  <c r="F2202" i="5"/>
  <c r="R2202" i="5"/>
  <c r="F2207" i="5"/>
  <c r="F2210" i="5"/>
  <c r="R2210" i="5"/>
  <c r="F2218" i="5"/>
  <c r="R2218" i="5"/>
  <c r="AB2224" i="5"/>
  <c r="X2225"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R2297" i="5"/>
  <c r="I2297" i="5"/>
  <c r="F2306" i="5"/>
  <c r="R2309" i="5"/>
  <c r="I2309" i="5"/>
  <c r="H2309" i="5"/>
  <c r="F2313" i="5"/>
  <c r="R2314" i="5"/>
  <c r="I2314" i="5"/>
  <c r="AB2331" i="5"/>
  <c r="T2331" i="5"/>
  <c r="R2337" i="5"/>
  <c r="J2337" i="5"/>
  <c r="I2337" i="5"/>
  <c r="S2388" i="5"/>
  <c r="T2388" i="5"/>
  <c r="S2268" i="5"/>
  <c r="S2275" i="5"/>
  <c r="S2282" i="5"/>
  <c r="T2287" i="5"/>
  <c r="R2302" i="5"/>
  <c r="H2302" i="5"/>
  <c r="H2313" i="5"/>
  <c r="F2314" i="5"/>
  <c r="AB2340" i="5"/>
  <c r="T2340" i="5"/>
  <c r="S2340" i="5"/>
  <c r="AB2343" i="5"/>
  <c r="T2366" i="5"/>
  <c r="AB2383" i="5"/>
  <c r="S2383" i="5"/>
  <c r="T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X2366" i="5"/>
  <c r="AB2374" i="5"/>
  <c r="S2374"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R2394" i="5"/>
  <c r="J2394" i="5"/>
  <c r="I2394" i="5"/>
  <c r="H2394"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X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X2456" i="5"/>
  <c r="R2456" i="5"/>
  <c r="H2456" i="5"/>
  <c r="J2476" i="5"/>
  <c r="I2476" i="5"/>
  <c r="R2476" i="5"/>
  <c r="H2476" i="5"/>
  <c r="F2476" i="5"/>
  <c r="AB2487" i="5"/>
  <c r="T2487" i="5"/>
  <c r="S2487" i="5"/>
  <c r="T2496" i="5"/>
  <c r="S2496" i="5"/>
  <c r="F2382" i="5"/>
  <c r="F2390" i="5"/>
  <c r="AB2432" i="5"/>
  <c r="F2456" i="5"/>
  <c r="H2482" i="5"/>
  <c r="I2482" i="5"/>
  <c r="F2482" i="5"/>
  <c r="R2482" i="5"/>
  <c r="J2482" i="5"/>
  <c r="AB2391" i="5"/>
  <c r="T2391" i="5"/>
  <c r="AB2412"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B42" i="6" s="1"/>
  <c r="G42" i="6" s="1"/>
  <c r="F2442" i="5"/>
  <c r="J2442" i="5"/>
  <c r="I2442" i="5"/>
  <c r="H2442" i="5"/>
  <c r="AB2460" i="5"/>
  <c r="F2497" i="5"/>
  <c r="R2497" i="5"/>
  <c r="J2497" i="5"/>
  <c r="I2497" i="5"/>
  <c r="H2497" i="5"/>
  <c r="T2501" i="5"/>
  <c r="S2501" i="5"/>
  <c r="F64" i="6"/>
  <c r="G5" i="6"/>
  <c r="H5" i="6"/>
  <c r="H2464" i="5"/>
  <c r="J2472" i="5"/>
  <c r="I2472" i="5"/>
  <c r="X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F2489" i="5"/>
  <c r="I2489" i="5"/>
  <c r="H2489" i="5"/>
  <c r="R2489" i="5"/>
  <c r="J2489" i="5"/>
  <c r="J2494" i="5"/>
  <c r="I2494" i="5"/>
  <c r="H2494" i="5"/>
  <c r="G17" i="6"/>
  <c r="H17" i="6" s="1"/>
  <c r="AB2443" i="5"/>
  <c r="S2443" i="5"/>
  <c r="S2450" i="5"/>
  <c r="S2452" i="5"/>
  <c r="J2461" i="5"/>
  <c r="J2469" i="5"/>
  <c r="T2495" i="5"/>
  <c r="S2495" i="5"/>
  <c r="T2499" i="5"/>
  <c r="S2499" i="5"/>
  <c r="T2503" i="5"/>
  <c r="S2503" i="5"/>
  <c r="G15" i="6"/>
  <c r="H15" i="6" s="1"/>
  <c r="B20" i="6"/>
  <c r="AB2447" i="5"/>
  <c r="S2447" i="5"/>
  <c r="F2458"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X2481" i="5"/>
  <c r="R2492" i="5"/>
  <c r="J2492" i="5"/>
  <c r="S2504" i="5"/>
  <c r="S2477" i="5"/>
  <c r="AB2482" i="5"/>
  <c r="T2482" i="5"/>
  <c r="T2504" i="5"/>
  <c r="B21" i="6"/>
  <c r="F26" i="6" s="1"/>
  <c r="B51" i="6"/>
  <c r="G51" i="6" s="1"/>
  <c r="G16" i="6"/>
  <c r="H16" i="6" s="1"/>
  <c r="A38" i="2"/>
  <c r="J4" i="5"/>
  <c r="B41" i="4"/>
  <c r="B65" i="4" s="1"/>
  <c r="A47"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6" i="1"/>
  <c r="F4" i="8"/>
  <c r="H4" i="8"/>
  <c r="I4" i="8"/>
  <c r="C4" i="8"/>
  <c r="E4" i="8"/>
  <c r="S491" i="5"/>
  <c r="T373" i="5"/>
  <c r="T437" i="5"/>
  <c r="T433" i="5"/>
  <c r="S511" i="5"/>
  <c r="T384" i="5"/>
  <c r="T377" i="5"/>
  <c r="S397" i="5"/>
  <c r="S401" i="5"/>
  <c r="S409" i="5"/>
  <c r="S372" i="5"/>
  <c r="T396" i="5"/>
  <c r="S437" i="5"/>
  <c r="T520" i="5"/>
  <c r="S428" i="5"/>
  <c r="S452" i="5"/>
  <c r="T500" i="5"/>
  <c r="T516" i="5"/>
  <c r="S548" i="5"/>
  <c r="T560" i="5"/>
  <c r="T535" i="5"/>
  <c r="T555" i="5"/>
  <c r="T482" i="5"/>
  <c r="S377" i="5"/>
  <c r="T401" i="5"/>
  <c r="T457" i="5"/>
  <c r="T441" i="5"/>
  <c r="S539" i="5"/>
  <c r="T26" i="5"/>
  <c r="T471" i="5"/>
  <c r="T388" i="5"/>
  <c r="T459" i="5"/>
  <c r="T376" i="5"/>
  <c r="T400" i="5"/>
  <c r="S417" i="5"/>
  <c r="T448" i="5"/>
  <c r="T556" i="5"/>
  <c r="S432" i="5"/>
  <c r="T455" i="5"/>
  <c r="S560" i="5"/>
  <c r="T491" i="5"/>
  <c r="T540" i="5"/>
  <c r="S510" i="5"/>
  <c r="T405" i="5"/>
  <c r="T417" i="5"/>
  <c r="T93" i="5"/>
  <c r="S388" i="5"/>
  <c r="T399" i="5"/>
  <c r="T464" i="5"/>
  <c r="T483" i="5"/>
  <c r="T542" i="5"/>
  <c r="S429" i="5"/>
  <c r="S449" i="5"/>
  <c r="S457" i="5"/>
  <c r="T488" i="5"/>
  <c r="T536" i="5"/>
  <c r="T572" i="5"/>
  <c r="S436" i="5"/>
  <c r="T461" i="5"/>
  <c r="T420" i="5"/>
  <c r="T440" i="5"/>
  <c r="T568" i="5"/>
  <c r="T470" i="5"/>
  <c r="T563" i="5"/>
  <c r="T498" i="5"/>
  <c r="S416" i="5"/>
  <c r="T387" i="5"/>
  <c r="T408" i="5"/>
  <c r="S441" i="5"/>
  <c r="S572" i="5"/>
  <c r="S440" i="5"/>
  <c r="T586" i="5"/>
  <c r="T551" i="5"/>
  <c r="S568" i="5"/>
  <c r="T539" i="5"/>
  <c r="T552" i="5"/>
  <c r="T519" i="5"/>
  <c r="S468" i="5"/>
  <c r="T594" i="5"/>
  <c r="T413" i="5"/>
  <c r="T415" i="5"/>
  <c r="S543" i="5"/>
  <c r="T18" i="5"/>
  <c r="T371" i="5"/>
  <c r="S408" i="5"/>
  <c r="S389" i="5"/>
  <c r="S404" i="5"/>
  <c r="S421" i="5"/>
  <c r="T510" i="5"/>
  <c r="T443" i="5"/>
  <c r="S464" i="5"/>
  <c r="T480" i="5"/>
  <c r="T523" i="5"/>
  <c r="T544" i="5"/>
  <c r="T566" i="5"/>
  <c r="S552" i="5"/>
  <c r="S586" i="5"/>
  <c r="T487" i="5"/>
  <c r="T503" i="5"/>
  <c r="T514" i="5"/>
  <c r="T584" i="5"/>
  <c r="T590" i="5"/>
  <c r="T393" i="5"/>
  <c r="T409" i="5"/>
  <c r="T445" i="5"/>
  <c r="T381" i="5"/>
  <c r="T429" i="5"/>
  <c r="S479" i="5"/>
  <c r="S392" i="5"/>
  <c r="T515" i="5"/>
  <c r="T412" i="5"/>
  <c r="S433" i="5"/>
  <c r="T452" i="5"/>
  <c r="T504" i="5"/>
  <c r="T547" i="5"/>
  <c r="T494" i="5"/>
  <c r="T526" i="5"/>
  <c r="S444" i="5"/>
  <c r="T543" i="5"/>
  <c r="T444" i="5"/>
  <c r="T528" i="5"/>
  <c r="T492" i="5"/>
  <c r="T508" i="5"/>
  <c r="T530" i="5"/>
  <c r="S584" i="5"/>
  <c r="T453" i="5"/>
  <c r="T421" i="5"/>
  <c r="T425" i="5"/>
  <c r="T385" i="5"/>
  <c r="T531" i="5"/>
  <c r="T369" i="5"/>
  <c r="S396" i="5"/>
  <c r="S400" i="5"/>
  <c r="S405" i="5"/>
  <c r="S413" i="5"/>
  <c r="T424" i="5"/>
  <c r="S453" i="5"/>
  <c r="T559" i="5"/>
  <c r="S420" i="5"/>
  <c r="S448" i="5"/>
  <c r="T495" i="5"/>
  <c r="T511" i="5"/>
  <c r="T527" i="5"/>
  <c r="T546" i="5"/>
  <c r="T507" i="5"/>
  <c r="T476" i="5"/>
  <c r="T570" i="5"/>
  <c r="T558" i="5"/>
  <c r="T389" i="5"/>
  <c r="T397" i="5"/>
  <c r="T449" i="5"/>
  <c r="S385" i="5"/>
  <c r="S393" i="5"/>
  <c r="T478" i="5"/>
  <c r="S380" i="5"/>
  <c r="T372" i="5"/>
  <c r="T392" i="5"/>
  <c r="S425" i="5"/>
  <c r="T436" i="5"/>
  <c r="S445" i="5"/>
  <c r="T550" i="5"/>
  <c r="S424" i="5"/>
  <c r="T451" i="5"/>
  <c r="T479" i="5"/>
  <c r="T548" i="5"/>
  <c r="S470" i="5"/>
  <c r="S461" i="5"/>
  <c r="T512" i="5"/>
  <c r="T582" i="5"/>
  <c r="S494" i="5"/>
  <c r="T468" i="5"/>
  <c r="T499" i="5"/>
  <c r="T428" i="5"/>
  <c r="T380" i="5"/>
  <c r="T456" i="5"/>
  <c r="T416" i="5"/>
  <c r="T432" i="5"/>
  <c r="T484" i="5"/>
  <c r="T404" i="5"/>
  <c r="R2165" i="5"/>
  <c r="I1967" i="5"/>
  <c r="J2069" i="5"/>
  <c r="I2069" i="5"/>
  <c r="J1967" i="5"/>
  <c r="I987" i="5"/>
  <c r="H650" i="5"/>
  <c r="R2044" i="5"/>
  <c r="R1967" i="5"/>
  <c r="H987" i="5"/>
  <c r="H1959" i="5"/>
  <c r="R987" i="5"/>
  <c r="R2069" i="5"/>
  <c r="I1959" i="5"/>
  <c r="X1272" i="5"/>
  <c r="H2069" i="5"/>
  <c r="J1959" i="5"/>
  <c r="R1959" i="5"/>
  <c r="I678" i="5"/>
  <c r="H678" i="5"/>
  <c r="J987" i="5"/>
  <c r="S606" i="5"/>
  <c r="S610" i="5"/>
  <c r="X520" i="5"/>
  <c r="X456" i="5"/>
  <c r="S598" i="5"/>
  <c r="X550" i="5"/>
  <c r="X542" i="5"/>
  <c r="X376" i="5"/>
  <c r="X504" i="5"/>
  <c r="X121" i="5"/>
  <c r="X360" i="5"/>
  <c r="X326" i="5"/>
  <c r="X310" i="5"/>
  <c r="X146" i="5"/>
  <c r="X488" i="5"/>
  <c r="X482" i="5"/>
  <c r="X558" i="5"/>
  <c r="X230" i="5"/>
  <c r="X546" i="5"/>
  <c r="X559" i="5"/>
  <c r="S532" i="5"/>
  <c r="X336" i="5"/>
  <c r="X318" i="5"/>
  <c r="X214" i="5"/>
  <c r="X70" i="5"/>
  <c r="X329" i="5"/>
  <c r="X241" i="5"/>
  <c r="X198" i="5"/>
  <c r="X134" i="5"/>
  <c r="X174" i="5"/>
  <c r="X353" i="5"/>
  <c r="X158" i="5"/>
  <c r="X246" i="5"/>
  <c r="X78" i="5"/>
  <c r="X335" i="5"/>
  <c r="X206" i="5"/>
  <c r="X162" i="5"/>
  <c r="X38" i="5"/>
  <c r="X142" i="5"/>
  <c r="X126" i="5"/>
  <c r="X217" i="5"/>
  <c r="X278" i="5"/>
  <c r="X182" i="5"/>
  <c r="X218" i="5"/>
  <c r="X86" i="5"/>
  <c r="X369" i="5"/>
  <c r="X46" i="5"/>
  <c r="X96" i="5"/>
  <c r="X48" i="5"/>
  <c r="X22" i="5"/>
  <c r="X327" i="5"/>
  <c r="X118" i="5"/>
  <c r="X311" i="5"/>
  <c r="X54" i="5"/>
  <c r="X50" i="5"/>
  <c r="X62" i="5"/>
  <c r="S383" i="5"/>
  <c r="X313" i="5"/>
  <c r="X319" i="5"/>
  <c r="X249" i="5"/>
  <c r="X2318" i="5"/>
  <c r="J1919" i="5"/>
  <c r="X1289" i="5"/>
  <c r="R983" i="5"/>
  <c r="R872" i="5"/>
  <c r="I851" i="5"/>
  <c r="F1735" i="5"/>
  <c r="I1859" i="5"/>
  <c r="F1577" i="5"/>
  <c r="H1339" i="5"/>
  <c r="I1224" i="5"/>
  <c r="X752" i="5"/>
  <c r="J775" i="5"/>
  <c r="F678" i="5"/>
  <c r="I1735" i="5"/>
  <c r="J2284" i="5"/>
  <c r="J1339" i="5"/>
  <c r="F967" i="5"/>
  <c r="J678" i="5"/>
  <c r="F2189" i="5"/>
  <c r="J1735" i="5"/>
  <c r="R1339" i="5"/>
  <c r="I967" i="5"/>
  <c r="I829" i="5"/>
  <c r="H752" i="5"/>
  <c r="H578" i="5"/>
  <c r="I1665" i="5"/>
  <c r="H1577" i="5"/>
  <c r="R967" i="5"/>
  <c r="R829" i="5"/>
  <c r="J752" i="5"/>
  <c r="I578" i="5"/>
  <c r="J1492" i="5"/>
  <c r="F2409" i="5"/>
  <c r="R1669" i="5"/>
  <c r="J1577" i="5"/>
  <c r="I1339"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F2301" i="5"/>
  <c r="R1593" i="5"/>
  <c r="J1385" i="5"/>
  <c r="X1320" i="5"/>
  <c r="R2301" i="5"/>
  <c r="R1051" i="5"/>
  <c r="R1015" i="5"/>
  <c r="I1039" i="5"/>
  <c r="F1320" i="5"/>
  <c r="R852" i="5"/>
  <c r="F1947" i="5"/>
  <c r="H1947" i="5"/>
  <c r="X1426" i="5"/>
  <c r="I1381" i="5"/>
  <c r="X872" i="5"/>
  <c r="J463" i="5"/>
  <c r="I1947" i="5"/>
  <c r="R1665" i="5"/>
  <c r="X1158" i="5"/>
  <c r="H463" i="5"/>
  <c r="J1947" i="5"/>
  <c r="J1438" i="5"/>
  <c r="F1158" i="5"/>
  <c r="R1947" i="5"/>
  <c r="J1665" i="5"/>
  <c r="J1426" i="5"/>
  <c r="R262" i="5"/>
  <c r="I2363" i="5"/>
  <c r="I872" i="5"/>
  <c r="I463" i="5"/>
  <c r="R574" i="5"/>
  <c r="I2480" i="5"/>
  <c r="R1325" i="5"/>
  <c r="H1158" i="5"/>
  <c r="F872" i="5"/>
  <c r="R746" i="5"/>
  <c r="F767" i="5"/>
  <c r="H746" i="5"/>
  <c r="H2325" i="5"/>
  <c r="R1329" i="5"/>
  <c r="H562" i="5"/>
  <c r="F463" i="5"/>
  <c r="R1204" i="5"/>
  <c r="H574" i="5"/>
  <c r="I562" i="5"/>
  <c r="F1665" i="5"/>
  <c r="J1204" i="5"/>
  <c r="I574" i="5"/>
  <c r="J562" i="5"/>
  <c r="J872" i="5"/>
  <c r="F562" i="5"/>
  <c r="H1665" i="5"/>
  <c r="J574" i="5"/>
  <c r="R2363" i="5"/>
  <c r="R2317" i="5"/>
  <c r="R2157" i="5"/>
  <c r="H1786" i="5"/>
  <c r="R799" i="5"/>
  <c r="H576" i="5"/>
  <c r="R2397" i="5"/>
  <c r="J2363" i="5"/>
  <c r="F696" i="5"/>
  <c r="I644" i="5"/>
  <c r="H403" i="5"/>
  <c r="H2397" i="5"/>
  <c r="J403" i="5"/>
  <c r="J1233" i="5"/>
  <c r="F717" i="5"/>
  <c r="R775" i="5"/>
  <c r="X775" i="5"/>
  <c r="R403" i="5"/>
  <c r="H2317" i="5"/>
  <c r="F799" i="5"/>
  <c r="F775" i="5"/>
  <c r="F2363" i="5"/>
  <c r="H799" i="5"/>
  <c r="H775" i="5"/>
  <c r="J391" i="5"/>
  <c r="H2363" i="5"/>
  <c r="I2317" i="5"/>
  <c r="F1786" i="5"/>
  <c r="F942" i="5"/>
  <c r="I799" i="5"/>
  <c r="I775" i="5"/>
  <c r="X2016" i="5"/>
  <c r="J2016" i="5"/>
  <c r="J1724" i="5"/>
  <c r="H1434" i="5"/>
  <c r="I1308" i="5"/>
  <c r="F1272" i="5"/>
  <c r="J602" i="5"/>
  <c r="T602" i="5"/>
  <c r="J2077" i="5"/>
  <c r="I2077" i="5"/>
  <c r="J1673"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X1673" i="5"/>
  <c r="F1051" i="5"/>
  <c r="F672" i="5"/>
  <c r="R115"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H415" i="5"/>
  <c r="H395" i="5"/>
  <c r="X2480" i="5"/>
  <c r="F1859" i="5"/>
  <c r="R1086" i="5"/>
  <c r="I836" i="5"/>
  <c r="H596" i="5"/>
  <c r="R415" i="5"/>
  <c r="J447" i="5"/>
  <c r="J395" i="5"/>
  <c r="F2480" i="5"/>
  <c r="J2164" i="5"/>
  <c r="R1653" i="5"/>
  <c r="J1653" i="5"/>
  <c r="F1508" i="5"/>
  <c r="F1222" i="5"/>
  <c r="H1297" i="5"/>
  <c r="F836" i="5"/>
  <c r="R836" i="5"/>
  <c r="R395" i="5"/>
  <c r="I496" i="5"/>
  <c r="F1233" i="5"/>
  <c r="J1725" i="5"/>
  <c r="H1716" i="5"/>
  <c r="F1403" i="5"/>
  <c r="X1329" i="5"/>
  <c r="I1095" i="5"/>
  <c r="R808" i="5"/>
  <c r="J2133" i="5"/>
  <c r="J2161" i="5"/>
  <c r="X1919" i="5"/>
  <c r="I1716" i="5"/>
  <c r="H1426" i="5"/>
  <c r="H1329" i="5"/>
  <c r="I608" i="5"/>
  <c r="F808" i="5"/>
  <c r="R2133" i="5"/>
  <c r="R2161" i="5"/>
  <c r="F1919" i="5"/>
  <c r="J1716" i="5"/>
  <c r="R1067" i="5"/>
  <c r="J1145" i="5"/>
  <c r="H883" i="5"/>
  <c r="H447" i="5"/>
  <c r="I808" i="5"/>
  <c r="H1900" i="5"/>
  <c r="I1919" i="5"/>
  <c r="R1716" i="5"/>
  <c r="H1684" i="5"/>
  <c r="R1285" i="5"/>
  <c r="F1308" i="5"/>
  <c r="F883" i="5"/>
  <c r="I1403" i="5"/>
  <c r="H1919" i="5"/>
  <c r="I1684" i="5"/>
  <c r="I1123" i="5"/>
  <c r="I1067" i="5"/>
  <c r="I883" i="5"/>
  <c r="R883" i="5"/>
  <c r="F1900" i="5"/>
  <c r="R1919" i="5"/>
  <c r="R1725" i="5"/>
  <c r="R1684" i="5"/>
  <c r="X1526" i="5"/>
  <c r="J1308" i="5"/>
  <c r="J2181" i="5"/>
  <c r="H2164" i="5"/>
  <c r="R2184" i="5"/>
  <c r="J1668" i="5"/>
  <c r="R1660" i="5"/>
  <c r="X1688" i="5"/>
  <c r="H1652" i="5"/>
  <c r="I1644" i="5"/>
  <c r="H942" i="5"/>
  <c r="I720" i="5"/>
  <c r="R2181" i="5"/>
  <c r="I2164" i="5"/>
  <c r="R1668" i="5"/>
  <c r="F1708" i="5"/>
  <c r="I1652" i="5"/>
  <c r="J1644" i="5"/>
  <c r="H391" i="5"/>
  <c r="J720" i="5"/>
  <c r="J2454" i="5"/>
  <c r="F2215" i="5"/>
  <c r="X2184" i="5"/>
  <c r="R2164" i="5"/>
  <c r="I2043" i="5"/>
  <c r="R1657" i="5"/>
  <c r="R1652" i="5"/>
  <c r="H1708" i="5"/>
  <c r="I942" i="5"/>
  <c r="H767" i="5"/>
  <c r="J680" i="5"/>
  <c r="H720" i="5"/>
  <c r="I680" i="5"/>
  <c r="X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116" i="5"/>
  <c r="I1855" i="5"/>
  <c r="X1842" i="5"/>
  <c r="H1774" i="5"/>
  <c r="H1811" i="5"/>
  <c r="X1774" i="5"/>
  <c r="R979" i="5"/>
  <c r="F852" i="5"/>
  <c r="F817" i="5"/>
  <c r="I580" i="5"/>
  <c r="R2116" i="5"/>
  <c r="H1855" i="5"/>
  <c r="I1811" i="5"/>
  <c r="F1774" i="5"/>
  <c r="X1086" i="5"/>
  <c r="J869" i="5"/>
  <c r="R580" i="5"/>
  <c r="F1842" i="5"/>
  <c r="J1855" i="5"/>
  <c r="J1811" i="5"/>
  <c r="H1140" i="5"/>
  <c r="R1292" i="5"/>
  <c r="I888" i="5"/>
  <c r="F738" i="5"/>
  <c r="H580"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730" i="5"/>
  <c r="R87" i="5"/>
  <c r="J1842" i="5"/>
  <c r="H1696" i="5"/>
  <c r="J1086" i="5"/>
  <c r="I524" i="5"/>
  <c r="R439" i="5"/>
  <c r="B41" i="6"/>
  <c r="G41" i="6" s="1"/>
  <c r="B31" i="6"/>
  <c r="G31" i="6" s="1"/>
  <c r="J2417" i="5"/>
  <c r="J2160" i="5"/>
  <c r="F1876" i="5"/>
  <c r="X1801" i="5"/>
  <c r="R1770" i="5"/>
  <c r="R1700" i="5"/>
  <c r="X1609" i="5"/>
  <c r="X1577" i="5"/>
  <c r="I1696" i="5"/>
  <c r="I1672" i="5"/>
  <c r="F1126" i="5"/>
  <c r="F875" i="5"/>
  <c r="R888" i="5"/>
  <c r="F783" i="5"/>
  <c r="R757" i="5"/>
  <c r="I588" i="5"/>
  <c r="R431" i="5"/>
  <c r="J435" i="5"/>
  <c r="H2012" i="5"/>
  <c r="F640" i="5"/>
  <c r="F2197" i="5"/>
  <c r="R2417" i="5"/>
  <c r="H2409" i="5"/>
  <c r="H2011" i="5"/>
  <c r="J1876" i="5"/>
  <c r="J1669" i="5"/>
  <c r="J1696" i="5"/>
  <c r="F1700" i="5"/>
  <c r="F1712" i="5"/>
  <c r="J1672" i="5"/>
  <c r="R1003" i="5"/>
  <c r="X1352" i="5"/>
  <c r="I974" i="5"/>
  <c r="H1138" i="5"/>
  <c r="H875" i="5"/>
  <c r="H783" i="5"/>
  <c r="I757" i="5"/>
  <c r="I640" i="5"/>
  <c r="H644" i="5"/>
  <c r="H435" i="5"/>
  <c r="J2397" i="5"/>
  <c r="I2012" i="5"/>
  <c r="J640" i="5"/>
  <c r="I2197" i="5"/>
  <c r="I2409" i="5"/>
  <c r="F2325" i="5"/>
  <c r="I2011" i="5"/>
  <c r="J1936" i="5"/>
  <c r="F1770" i="5"/>
  <c r="R1696" i="5"/>
  <c r="H1664" i="5"/>
  <c r="I1494" i="5"/>
  <c r="R1672" i="5"/>
  <c r="F1352" i="5"/>
  <c r="F1292" i="5"/>
  <c r="J974" i="5"/>
  <c r="J875" i="5"/>
  <c r="I783" i="5"/>
  <c r="I749" i="5"/>
  <c r="J757" i="5"/>
  <c r="I556" i="5"/>
  <c r="J431" i="5"/>
  <c r="R194" i="5"/>
  <c r="R215" i="5"/>
  <c r="J2409" i="5"/>
  <c r="H2301" i="5"/>
  <c r="H2100" i="5"/>
  <c r="J2011" i="5"/>
  <c r="R1936" i="5"/>
  <c r="H1801" i="5"/>
  <c r="H1867" i="5"/>
  <c r="I1664" i="5"/>
  <c r="H1712" i="5"/>
  <c r="F1494" i="5"/>
  <c r="J1494" i="5"/>
  <c r="X1672" i="5"/>
  <c r="I1003" i="5"/>
  <c r="H1352" i="5"/>
  <c r="R974" i="5"/>
  <c r="I1074" i="5"/>
  <c r="I875" i="5"/>
  <c r="J783" i="5"/>
  <c r="J749" i="5"/>
  <c r="R334" i="5"/>
  <c r="I1801" i="5"/>
  <c r="J1664" i="5"/>
  <c r="I1712" i="5"/>
  <c r="X1494" i="5"/>
  <c r="X1190" i="5"/>
  <c r="J1352" i="5"/>
  <c r="I1292" i="5"/>
  <c r="R875" i="5"/>
  <c r="R738" i="5"/>
  <c r="I717" i="5"/>
  <c r="R718" i="5"/>
  <c r="F757" i="5"/>
  <c r="R207" i="5"/>
  <c r="X1510" i="5"/>
  <c r="F1190" i="5"/>
  <c r="I983" i="5"/>
  <c r="J1292" i="5"/>
  <c r="F749" i="5"/>
  <c r="J717" i="5"/>
  <c r="H640" i="5"/>
  <c r="H588" i="5"/>
  <c r="R435" i="5"/>
  <c r="H431" i="5"/>
  <c r="F2061" i="5"/>
  <c r="H556" i="5"/>
  <c r="H2197" i="5"/>
  <c r="F2405" i="5"/>
  <c r="F2386" i="5"/>
  <c r="R2289" i="5"/>
  <c r="R2160" i="5"/>
  <c r="I2100" i="5"/>
  <c r="R2035" i="5"/>
  <c r="I1867" i="5"/>
  <c r="X1304" i="5"/>
  <c r="I1145" i="5"/>
  <c r="J1074" i="5"/>
  <c r="R794" i="5"/>
  <c r="I634" i="5"/>
  <c r="H670" i="5"/>
  <c r="X634" i="5"/>
  <c r="F1940" i="5"/>
  <c r="F2289" i="5"/>
  <c r="F2154" i="5"/>
  <c r="J2100" i="5"/>
  <c r="J1940" i="5"/>
  <c r="J1867" i="5"/>
  <c r="I1761" i="5"/>
  <c r="F1193" i="5"/>
  <c r="R1115" i="5"/>
  <c r="I1035" i="5"/>
  <c r="F1304" i="5"/>
  <c r="X1145" i="5"/>
  <c r="R1074" i="5"/>
  <c r="F814" i="5"/>
  <c r="J814" i="5"/>
  <c r="J1527" i="5"/>
  <c r="I1527" i="5"/>
  <c r="H1527" i="5"/>
  <c r="F592" i="5"/>
  <c r="R592" i="5"/>
  <c r="I2386" i="5"/>
  <c r="H2405" i="5"/>
  <c r="H2180" i="5"/>
  <c r="R2100" i="5"/>
  <c r="R1940" i="5"/>
  <c r="R1867" i="5"/>
  <c r="J1193" i="5"/>
  <c r="F1145" i="5"/>
  <c r="F867" i="5"/>
  <c r="H1940" i="5"/>
  <c r="J2405" i="5"/>
  <c r="X2160" i="5"/>
  <c r="I2180" i="5"/>
  <c r="I1786" i="5"/>
  <c r="J1471" i="5"/>
  <c r="I1131" i="5"/>
  <c r="I1115" i="5"/>
  <c r="I1304" i="5"/>
  <c r="R1145" i="5"/>
  <c r="X814" i="5"/>
  <c r="H634" i="5"/>
  <c r="R423" i="5"/>
  <c r="I2289" i="5"/>
  <c r="J1435" i="5"/>
  <c r="I1435" i="5"/>
  <c r="H1435" i="5"/>
  <c r="R2405" i="5"/>
  <c r="H2386" i="5"/>
  <c r="J2180" i="5"/>
  <c r="J1952" i="5"/>
  <c r="J1786" i="5"/>
  <c r="J1304" i="5"/>
  <c r="J423" i="5"/>
  <c r="R303" i="5"/>
  <c r="H379" i="5"/>
  <c r="R71" i="5"/>
  <c r="F2381" i="5"/>
  <c r="J2386" i="5"/>
  <c r="R2180" i="5"/>
  <c r="H2160" i="5"/>
  <c r="F2100" i="5"/>
  <c r="R1952" i="5"/>
  <c r="H2035" i="5"/>
  <c r="F1867" i="5"/>
  <c r="R1786" i="5"/>
  <c r="R1131" i="5"/>
  <c r="R1304" i="5"/>
  <c r="I971" i="5"/>
  <c r="F1074" i="5"/>
  <c r="F971" i="5"/>
  <c r="I817" i="5"/>
  <c r="J379" i="5"/>
  <c r="R2386" i="5"/>
  <c r="I2160" i="5"/>
  <c r="X1952" i="5"/>
  <c r="I2035" i="5"/>
  <c r="X1786" i="5"/>
  <c r="I1471" i="5"/>
  <c r="R1471" i="5"/>
  <c r="R971" i="5"/>
  <c r="H1145" i="5"/>
  <c r="H971" i="5"/>
  <c r="J817" i="5"/>
  <c r="R817" i="5"/>
  <c r="R1055" i="5"/>
  <c r="I891" i="5"/>
  <c r="H867" i="5"/>
  <c r="R712" i="5"/>
  <c r="R427" i="5"/>
  <c r="R608" i="5"/>
  <c r="J712" i="5"/>
  <c r="X2465" i="5"/>
  <c r="J2465" i="5"/>
  <c r="F1696" i="5"/>
  <c r="I2205" i="5"/>
  <c r="R2205" i="5"/>
  <c r="J2205" i="5"/>
  <c r="H2205" i="5"/>
  <c r="F2205" i="5"/>
  <c r="X640" i="5"/>
  <c r="R640" i="5"/>
  <c r="J1067" i="5"/>
  <c r="H1067" i="5"/>
  <c r="X672" i="5"/>
  <c r="R672" i="5"/>
  <c r="R175" i="5"/>
  <c r="H808" i="5"/>
  <c r="J808" i="5"/>
  <c r="X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R931" i="5"/>
  <c r="R1138" i="5"/>
  <c r="I679" i="5"/>
  <c r="J427" i="5"/>
  <c r="F2265" i="5"/>
  <c r="X2265" i="5"/>
  <c r="I2199" i="5"/>
  <c r="R2199" i="5"/>
  <c r="J2199" i="5"/>
  <c r="H1051" i="5"/>
  <c r="R578" i="5"/>
  <c r="F578" i="5"/>
  <c r="R306" i="5"/>
  <c r="R243" i="5"/>
  <c r="J1761" i="5"/>
  <c r="I1510" i="5"/>
  <c r="X1464" i="5"/>
  <c r="F1138" i="5"/>
  <c r="F891" i="5"/>
  <c r="H2265" i="5"/>
  <c r="F974" i="5"/>
  <c r="I2397" i="5"/>
  <c r="F2397" i="5"/>
  <c r="I2253" i="5"/>
  <c r="R2253" i="5"/>
  <c r="J2253" i="5"/>
  <c r="H2253" i="5"/>
  <c r="I2257" i="5"/>
  <c r="J2257" i="5"/>
  <c r="J1403" i="5"/>
  <c r="H1403" i="5"/>
  <c r="R191" i="5"/>
  <c r="R103" i="5"/>
  <c r="R314" i="5"/>
  <c r="R330" i="5"/>
  <c r="J1510" i="5"/>
  <c r="H891" i="5"/>
  <c r="H915" i="5"/>
  <c r="J608" i="5"/>
  <c r="X712" i="5"/>
  <c r="I2189" i="5"/>
  <c r="H2189" i="5"/>
  <c r="I1851" i="5"/>
  <c r="F1851" i="5"/>
  <c r="I1633" i="5"/>
  <c r="F1633" i="5"/>
  <c r="R239" i="5"/>
  <c r="I391" i="5"/>
  <c r="F391" i="5"/>
  <c r="F915" i="5"/>
  <c r="H712" i="5"/>
  <c r="H427" i="5"/>
  <c r="I2213" i="5"/>
  <c r="R2213" i="5"/>
  <c r="J2213" i="5"/>
  <c r="H2213" i="5"/>
  <c r="F2213" i="5"/>
  <c r="J2381" i="5"/>
  <c r="I2381" i="5"/>
  <c r="J1309" i="5"/>
  <c r="I1309" i="5"/>
  <c r="J1325" i="5"/>
  <c r="F1325" i="5"/>
  <c r="R43" i="5"/>
  <c r="R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I1645" i="5"/>
  <c r="H1645" i="5"/>
  <c r="F1645" i="5"/>
  <c r="J1297" i="5"/>
  <c r="I1297" i="5"/>
  <c r="F1297" i="5"/>
  <c r="J1071" i="5"/>
  <c r="H1071" i="5"/>
  <c r="F1071" i="5"/>
  <c r="F1035" i="5"/>
  <c r="H1035" i="5"/>
  <c r="J1035" i="5"/>
  <c r="H794" i="5"/>
  <c r="I794" i="5"/>
  <c r="J794" i="5"/>
  <c r="F794" i="5"/>
  <c r="X794" i="5"/>
  <c r="J1007" i="5"/>
  <c r="H1007" i="5"/>
  <c r="F1007" i="5"/>
  <c r="X632" i="5"/>
  <c r="R632" i="5"/>
  <c r="F632" i="5"/>
  <c r="J632" i="5"/>
  <c r="J829" i="5"/>
  <c r="H829" i="5"/>
  <c r="R814" i="5"/>
  <c r="I814" i="5"/>
  <c r="I443" i="5"/>
  <c r="F443" i="5"/>
  <c r="R163"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R365" i="5"/>
  <c r="R279" i="5"/>
  <c r="R717" i="5"/>
  <c r="H717" i="5"/>
  <c r="R251" i="5"/>
  <c r="R293" i="5"/>
  <c r="R290" i="5"/>
  <c r="I2016" i="5"/>
  <c r="H2016" i="5"/>
  <c r="F2016" i="5"/>
  <c r="X1657" i="5"/>
  <c r="F1657" i="5"/>
  <c r="I1657" i="5"/>
  <c r="H1657" i="5"/>
  <c r="F1204" i="5"/>
  <c r="H1204" i="5"/>
  <c r="I1190" i="5"/>
  <c r="R1190" i="5"/>
  <c r="J1190" i="5"/>
  <c r="X1015"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261" i="5"/>
  <c r="R277" i="5"/>
  <c r="R600" i="5"/>
  <c r="J600" i="5"/>
  <c r="T600" i="5"/>
  <c r="F600" i="5"/>
  <c r="R151" i="5"/>
  <c r="I2157" i="5"/>
  <c r="H2157" i="5"/>
  <c r="J2301" i="5"/>
  <c r="R2233" i="5"/>
  <c r="J2233" i="5"/>
  <c r="H2233" i="5"/>
  <c r="F2233" i="5"/>
  <c r="X1641" i="5"/>
  <c r="F1641" i="5"/>
  <c r="I1641" i="5"/>
  <c r="H1641" i="5"/>
  <c r="J1754" i="5"/>
  <c r="H1754" i="5"/>
  <c r="R1510" i="5"/>
  <c r="H1510" i="5"/>
  <c r="F1510" i="5"/>
  <c r="J1079" i="5"/>
  <c r="H1079" i="5"/>
  <c r="F1079" i="5"/>
  <c r="J1107" i="5"/>
  <c r="H1107" i="5"/>
  <c r="F1107" i="5"/>
  <c r="I662" i="5"/>
  <c r="F662" i="5"/>
  <c r="X662" i="5"/>
  <c r="R662" i="5"/>
  <c r="J662" i="5"/>
  <c r="J634" i="5"/>
  <c r="R634" i="5"/>
  <c r="F634" i="5"/>
  <c r="X664" i="5"/>
  <c r="R664" i="5"/>
  <c r="I664" i="5"/>
  <c r="F664" i="5"/>
  <c r="I407" i="5"/>
  <c r="F407" i="5"/>
  <c r="R287" i="5"/>
  <c r="I435" i="5"/>
  <c r="F435" i="5"/>
  <c r="R211" i="5"/>
  <c r="I2232" i="5"/>
  <c r="H2232" i="5"/>
  <c r="X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X1110" i="5"/>
  <c r="H1039" i="5"/>
  <c r="F1039" i="5"/>
  <c r="J1039" i="5"/>
  <c r="H762" i="5"/>
  <c r="F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X718" i="5"/>
  <c r="J983" i="5"/>
  <c r="H983" i="5"/>
  <c r="F983" i="5"/>
  <c r="H766" i="5"/>
  <c r="J766" i="5"/>
  <c r="I766" i="5"/>
  <c r="F766" i="5"/>
  <c r="X766" i="5"/>
  <c r="H496" i="5"/>
  <c r="F496" i="5"/>
  <c r="R496" i="5"/>
  <c r="J496" i="5"/>
  <c r="I431" i="5"/>
  <c r="F431" i="5"/>
  <c r="I427" i="5"/>
  <c r="F427" i="5"/>
  <c r="B40" i="6"/>
  <c r="G40" i="6" s="1"/>
  <c r="X6" i="5"/>
  <c r="F2426" i="5"/>
  <c r="R2426" i="5"/>
  <c r="J2426" i="5"/>
  <c r="I2426" i="5"/>
  <c r="H2426" i="5"/>
  <c r="D5" i="6"/>
  <c r="F2446" i="5"/>
  <c r="H2446" i="5"/>
  <c r="X2446" i="5"/>
  <c r="J2446" i="5"/>
  <c r="I2446" i="5"/>
  <c r="R2446" i="5"/>
  <c r="G22" i="6"/>
  <c r="H22" i="6" s="1"/>
  <c r="D22" i="6" s="1"/>
  <c r="J2504" i="5"/>
  <c r="I2504" i="5"/>
  <c r="H2504" i="5"/>
  <c r="R2504" i="5"/>
  <c r="F2504" i="5"/>
  <c r="X2504" i="5"/>
  <c r="F2434" i="5"/>
  <c r="R2434" i="5"/>
  <c r="J2434" i="5"/>
  <c r="I2434" i="5"/>
  <c r="H2434" i="5"/>
  <c r="X2434" i="5"/>
  <c r="H2459" i="5"/>
  <c r="R2459" i="5"/>
  <c r="J2459" i="5"/>
  <c r="I2459" i="5"/>
  <c r="F2459" i="5"/>
  <c r="I2399" i="5"/>
  <c r="H2399" i="5"/>
  <c r="F2399" i="5"/>
  <c r="R2399" i="5"/>
  <c r="J2399" i="5"/>
  <c r="J2392" i="5"/>
  <c r="I2392" i="5"/>
  <c r="R2392" i="5"/>
  <c r="H2392" i="5"/>
  <c r="F2392" i="5"/>
  <c r="X2392" i="5"/>
  <c r="H2369" i="5"/>
  <c r="F2369" i="5"/>
  <c r="J2369" i="5"/>
  <c r="I2369" i="5"/>
  <c r="X2369" i="5"/>
  <c r="R2369" i="5"/>
  <c r="H2383" i="5"/>
  <c r="J2383" i="5"/>
  <c r="R2383" i="5"/>
  <c r="I2383" i="5"/>
  <c r="F2383" i="5"/>
  <c r="F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X2198" i="5"/>
  <c r="J2179" i="5"/>
  <c r="I2179" i="5"/>
  <c r="H2179" i="5"/>
  <c r="F2179" i="5"/>
  <c r="R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X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X1833" i="5"/>
  <c r="I1914" i="5"/>
  <c r="H1914" i="5"/>
  <c r="F1914" i="5"/>
  <c r="R1914" i="5"/>
  <c r="J1914" i="5"/>
  <c r="X1914" i="5"/>
  <c r="R1737" i="5"/>
  <c r="H1737" i="5"/>
  <c r="F1737" i="5"/>
  <c r="X1737" i="5"/>
  <c r="J1737" i="5"/>
  <c r="I1737" i="5"/>
  <c r="F1550" i="5"/>
  <c r="H1550" i="5"/>
  <c r="R1550" i="5"/>
  <c r="J1550" i="5"/>
  <c r="I1550" i="5"/>
  <c r="R1747" i="5"/>
  <c r="J1747" i="5"/>
  <c r="I1747" i="5"/>
  <c r="H1747" i="5"/>
  <c r="F1747" i="5"/>
  <c r="R1671" i="5"/>
  <c r="J1671" i="5"/>
  <c r="I1671" i="5"/>
  <c r="H1671" i="5"/>
  <c r="F1671" i="5"/>
  <c r="R1552" i="5"/>
  <c r="J1552" i="5"/>
  <c r="H1552" i="5"/>
  <c r="I1552" i="5"/>
  <c r="X1552" i="5"/>
  <c r="F1552" i="5"/>
  <c r="R1667" i="5"/>
  <c r="J1667" i="5"/>
  <c r="I1667" i="5"/>
  <c r="H1667" i="5"/>
  <c r="F1667" i="5"/>
  <c r="I1825" i="5"/>
  <c r="R1825" i="5"/>
  <c r="J1825" i="5"/>
  <c r="H1825" i="5"/>
  <c r="F1825" i="5"/>
  <c r="X1825" i="5"/>
  <c r="R1655" i="5"/>
  <c r="J1655" i="5"/>
  <c r="I1655" i="5"/>
  <c r="H1655" i="5"/>
  <c r="F1655" i="5"/>
  <c r="X1655" i="5"/>
  <c r="J1413" i="5"/>
  <c r="I1413" i="5"/>
  <c r="H1413" i="5"/>
  <c r="R1413" i="5"/>
  <c r="F1413" i="5"/>
  <c r="I1615" i="5"/>
  <c r="H1615" i="5"/>
  <c r="F1615" i="5"/>
  <c r="R1615" i="5"/>
  <c r="J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X1366" i="5"/>
  <c r="H1016" i="5"/>
  <c r="F1016" i="5"/>
  <c r="X1016" i="5"/>
  <c r="R1016" i="5"/>
  <c r="I1016" i="5"/>
  <c r="J1016" i="5"/>
  <c r="R1137" i="5"/>
  <c r="J1137" i="5"/>
  <c r="I1137" i="5"/>
  <c r="H1137" i="5"/>
  <c r="X1137" i="5"/>
  <c r="F1137"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X870" i="5"/>
  <c r="F870" i="5"/>
  <c r="R863" i="5"/>
  <c r="I863" i="5"/>
  <c r="H863" i="5"/>
  <c r="F863" i="5"/>
  <c r="J863" i="5"/>
  <c r="J1049" i="5"/>
  <c r="I1049" i="5"/>
  <c r="H1049" i="5"/>
  <c r="X1049" i="5"/>
  <c r="R1049" i="5"/>
  <c r="F1049" i="5"/>
  <c r="I669" i="5"/>
  <c r="H669" i="5"/>
  <c r="F669" i="5"/>
  <c r="R669" i="5"/>
  <c r="J669" i="5"/>
  <c r="I637" i="5"/>
  <c r="H637" i="5"/>
  <c r="F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R340" i="5"/>
  <c r="R394" i="5"/>
  <c r="J394" i="5"/>
  <c r="I394" i="5"/>
  <c r="H394" i="5"/>
  <c r="F394" i="5"/>
  <c r="R374" i="5"/>
  <c r="I374" i="5"/>
  <c r="H374" i="5"/>
  <c r="F374" i="5"/>
  <c r="J374" i="5"/>
  <c r="R355" i="5"/>
  <c r="R324" i="5"/>
  <c r="R300" i="5"/>
  <c r="R292" i="5"/>
  <c r="R284" i="5"/>
  <c r="R276" i="5"/>
  <c r="R268" i="5"/>
  <c r="R260" i="5"/>
  <c r="R252" i="5"/>
  <c r="R244" i="5"/>
  <c r="R236" i="5"/>
  <c r="R228" i="5"/>
  <c r="R132" i="5"/>
  <c r="R402" i="5"/>
  <c r="J402" i="5"/>
  <c r="I402" i="5"/>
  <c r="H402" i="5"/>
  <c r="F402" i="5"/>
  <c r="R204" i="5"/>
  <c r="R116" i="5"/>
  <c r="R104" i="5"/>
  <c r="B46" i="6"/>
  <c r="G46" i="6" s="1"/>
  <c r="G21" i="6"/>
  <c r="H21" i="6" s="1"/>
  <c r="D21" i="6" s="1"/>
  <c r="B36" i="6"/>
  <c r="G36" i="6" s="1"/>
  <c r="G20" i="6"/>
  <c r="H20" i="6" s="1"/>
  <c r="D20" i="6" s="1"/>
  <c r="H2439" i="5"/>
  <c r="F2439" i="5"/>
  <c r="R2439" i="5"/>
  <c r="J2439" i="5"/>
  <c r="I2439" i="5"/>
  <c r="F2414" i="5"/>
  <c r="X2414" i="5"/>
  <c r="R2414" i="5"/>
  <c r="J2414" i="5"/>
  <c r="I2414" i="5"/>
  <c r="H2414" i="5"/>
  <c r="J2448" i="5"/>
  <c r="F2448" i="5"/>
  <c r="X2448" i="5"/>
  <c r="I2448" i="5"/>
  <c r="H2448" i="5"/>
  <c r="R2448" i="5"/>
  <c r="I2427" i="5"/>
  <c r="H2427" i="5"/>
  <c r="F2427" i="5"/>
  <c r="R2427" i="5"/>
  <c r="J2427" i="5"/>
  <c r="J2378" i="5"/>
  <c r="H2378" i="5"/>
  <c r="F2378" i="5"/>
  <c r="X2378" i="5"/>
  <c r="R2378" i="5"/>
  <c r="I2378" i="5"/>
  <c r="F2287" i="5"/>
  <c r="R2287" i="5"/>
  <c r="I2287" i="5"/>
  <c r="J2287" i="5"/>
  <c r="H2287" i="5"/>
  <c r="J2192" i="5"/>
  <c r="X2192" i="5"/>
  <c r="R2192" i="5"/>
  <c r="I2192" i="5"/>
  <c r="H2192" i="5"/>
  <c r="F2192" i="5"/>
  <c r="I2135" i="5"/>
  <c r="H2135" i="5"/>
  <c r="F2135" i="5"/>
  <c r="R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I2098" i="5"/>
  <c r="H2098" i="5"/>
  <c r="R2098" i="5"/>
  <c r="J2098" i="5"/>
  <c r="I2151" i="5"/>
  <c r="H2151" i="5"/>
  <c r="F2151" i="5"/>
  <c r="R2151" i="5"/>
  <c r="J2151" i="5"/>
  <c r="H2238" i="5"/>
  <c r="F2238" i="5"/>
  <c r="X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R2026" i="5"/>
  <c r="J2026" i="5"/>
  <c r="I2026" i="5"/>
  <c r="H2026" i="5"/>
  <c r="F2026" i="5"/>
  <c r="F1872" i="5"/>
  <c r="X1872" i="5"/>
  <c r="R1872" i="5"/>
  <c r="J1872" i="5"/>
  <c r="I1872" i="5"/>
  <c r="H1872" i="5"/>
  <c r="I1934" i="5"/>
  <c r="H1934" i="5"/>
  <c r="F1934" i="5"/>
  <c r="J1934" i="5"/>
  <c r="R1934" i="5"/>
  <c r="R1966" i="5"/>
  <c r="J1966" i="5"/>
  <c r="I1966" i="5"/>
  <c r="H1966" i="5"/>
  <c r="F1966" i="5"/>
  <c r="X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X2082" i="5"/>
  <c r="R2082" i="5"/>
  <c r="J2082" i="5"/>
  <c r="I2082" i="5"/>
  <c r="H2082" i="5"/>
  <c r="X1880" i="5"/>
  <c r="J1880" i="5"/>
  <c r="R1880" i="5"/>
  <c r="I1880" i="5"/>
  <c r="H1880" i="5"/>
  <c r="F1880" i="5"/>
  <c r="H1763" i="5"/>
  <c r="F1763" i="5"/>
  <c r="R1763" i="5"/>
  <c r="I1763" i="5"/>
  <c r="J1763" i="5"/>
  <c r="R1745" i="5"/>
  <c r="H1745" i="5"/>
  <c r="F1745" i="5"/>
  <c r="X1745" i="5"/>
  <c r="J1745" i="5"/>
  <c r="I1745" i="5"/>
  <c r="I1722" i="5"/>
  <c r="H1722" i="5"/>
  <c r="F1722" i="5"/>
  <c r="X1722" i="5"/>
  <c r="J1722" i="5"/>
  <c r="R1722" i="5"/>
  <c r="I1706" i="5"/>
  <c r="H1706" i="5"/>
  <c r="F1706" i="5"/>
  <c r="R1706" i="5"/>
  <c r="J1706" i="5"/>
  <c r="I1690" i="5"/>
  <c r="H1690" i="5"/>
  <c r="F1690" i="5"/>
  <c r="R1690" i="5"/>
  <c r="J1690" i="5"/>
  <c r="I1674" i="5"/>
  <c r="H1674" i="5"/>
  <c r="F1674" i="5"/>
  <c r="R1674" i="5"/>
  <c r="J1674" i="5"/>
  <c r="I1658" i="5"/>
  <c r="H1658" i="5"/>
  <c r="F1658" i="5"/>
  <c r="X1658" i="5"/>
  <c r="R1658" i="5"/>
  <c r="J1658" i="5"/>
  <c r="I1642" i="5"/>
  <c r="H1642" i="5"/>
  <c r="F1642" i="5"/>
  <c r="R1642" i="5"/>
  <c r="J1642" i="5"/>
  <c r="H1626" i="5"/>
  <c r="F1626" i="5"/>
  <c r="X1626" i="5"/>
  <c r="R1626" i="5"/>
  <c r="J1626" i="5"/>
  <c r="I1626" i="5"/>
  <c r="F1610" i="5"/>
  <c r="X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R1627" i="5"/>
  <c r="R1560" i="5"/>
  <c r="J1560" i="5"/>
  <c r="I1560" i="5"/>
  <c r="H1560" i="5"/>
  <c r="F1560" i="5"/>
  <c r="X1560" i="5"/>
  <c r="H1207" i="5"/>
  <c r="R1207" i="5"/>
  <c r="J1207" i="5"/>
  <c r="I1207" i="5"/>
  <c r="F1207" i="5"/>
  <c r="H1108" i="5"/>
  <c r="F1108" i="5"/>
  <c r="R1108" i="5"/>
  <c r="I1108" i="5"/>
  <c r="J1108" i="5"/>
  <c r="H1044" i="5"/>
  <c r="F1044" i="5"/>
  <c r="R1044" i="5"/>
  <c r="I1044" i="5"/>
  <c r="J1044" i="5"/>
  <c r="F1398" i="5"/>
  <c r="R1398" i="5"/>
  <c r="J1398" i="5"/>
  <c r="I1398" i="5"/>
  <c r="H1398" i="5"/>
  <c r="X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X1350" i="5"/>
  <c r="F1330" i="5"/>
  <c r="R1330" i="5"/>
  <c r="J1330" i="5"/>
  <c r="I1330" i="5"/>
  <c r="H1330" i="5"/>
  <c r="F1322" i="5"/>
  <c r="X1322" i="5"/>
  <c r="R1322" i="5"/>
  <c r="J1322" i="5"/>
  <c r="I1322" i="5"/>
  <c r="H1322" i="5"/>
  <c r="F1314" i="5"/>
  <c r="R1314" i="5"/>
  <c r="J1314" i="5"/>
  <c r="I1314" i="5"/>
  <c r="H1314" i="5"/>
  <c r="F1306" i="5"/>
  <c r="R1306" i="5"/>
  <c r="J1306" i="5"/>
  <c r="I1306" i="5"/>
  <c r="H1306" i="5"/>
  <c r="F1298" i="5"/>
  <c r="R1298" i="5"/>
  <c r="J1298" i="5"/>
  <c r="I1298" i="5"/>
  <c r="H1298" i="5"/>
  <c r="F1290" i="5"/>
  <c r="X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R184" i="5"/>
  <c r="R328" i="5"/>
  <c r="R220" i="5"/>
  <c r="R176" i="5"/>
  <c r="F2422" i="5"/>
  <c r="X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X1958" i="5"/>
  <c r="I1837" i="5"/>
  <c r="F1837" i="5"/>
  <c r="R1837" i="5"/>
  <c r="J1837" i="5"/>
  <c r="H1837" i="5"/>
  <c r="R1970" i="5"/>
  <c r="J1970" i="5"/>
  <c r="I1970" i="5"/>
  <c r="H1970" i="5"/>
  <c r="F1970" i="5"/>
  <c r="X1888"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X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X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R1384" i="5"/>
  <c r="J1384" i="5"/>
  <c r="H1384" i="5"/>
  <c r="F1384" i="5"/>
  <c r="X1384" i="5"/>
  <c r="I1384" i="5"/>
  <c r="R927" i="5"/>
  <c r="I927" i="5"/>
  <c r="H927" i="5"/>
  <c r="F927" i="5"/>
  <c r="J927" i="5"/>
  <c r="H1195" i="5"/>
  <c r="J1195" i="5"/>
  <c r="I1195" i="5"/>
  <c r="F1195" i="5"/>
  <c r="R1195" i="5"/>
  <c r="F972" i="5"/>
  <c r="R972" i="5"/>
  <c r="J972" i="5"/>
  <c r="I972" i="5"/>
  <c r="H972" i="5"/>
  <c r="R930" i="5"/>
  <c r="I930" i="5"/>
  <c r="J930" i="5"/>
  <c r="H930" i="5"/>
  <c r="F930" i="5"/>
  <c r="X930" i="5"/>
  <c r="J985" i="5"/>
  <c r="I985" i="5"/>
  <c r="H985" i="5"/>
  <c r="R985" i="5"/>
  <c r="F985" i="5"/>
  <c r="F837" i="5"/>
  <c r="R837" i="5"/>
  <c r="I837" i="5"/>
  <c r="J837" i="5"/>
  <c r="H837" i="5"/>
  <c r="I657" i="5"/>
  <c r="H657" i="5"/>
  <c r="F657" i="5"/>
  <c r="X657" i="5"/>
  <c r="R657" i="5"/>
  <c r="J657" i="5"/>
  <c r="R675" i="5"/>
  <c r="J675" i="5"/>
  <c r="I675" i="5"/>
  <c r="H675" i="5"/>
  <c r="F675" i="5"/>
  <c r="R659" i="5"/>
  <c r="J659" i="5"/>
  <c r="I659" i="5"/>
  <c r="H659" i="5"/>
  <c r="F659" i="5"/>
  <c r="R643" i="5"/>
  <c r="J643" i="5"/>
  <c r="I643" i="5"/>
  <c r="H643" i="5"/>
  <c r="F643"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I2407" i="5"/>
  <c r="H2407" i="5"/>
  <c r="F2407" i="5"/>
  <c r="J2407" i="5"/>
  <c r="X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F964" i="5"/>
  <c r="R964" i="5"/>
  <c r="I964" i="5"/>
  <c r="H964" i="5"/>
  <c r="J964" i="5"/>
  <c r="F960" i="5"/>
  <c r="X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R216" i="5"/>
  <c r="R120" i="5"/>
  <c r="R140" i="5"/>
  <c r="R192" i="5"/>
  <c r="J2479" i="5"/>
  <c r="I2479" i="5"/>
  <c r="R2479" i="5"/>
  <c r="H2479" i="5"/>
  <c r="F2479" i="5"/>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H2262" i="5"/>
  <c r="F2262" i="5"/>
  <c r="X2262" i="5"/>
  <c r="R2262" i="5"/>
  <c r="J2262" i="5"/>
  <c r="I2262" i="5"/>
  <c r="I2131" i="5"/>
  <c r="H2131" i="5"/>
  <c r="F2131" i="5"/>
  <c r="R2131" i="5"/>
  <c r="J2131" i="5"/>
  <c r="H2119" i="5"/>
  <c r="R2119" i="5"/>
  <c r="J2119" i="5"/>
  <c r="I2119" i="5"/>
  <c r="F2119" i="5"/>
  <c r="R2136" i="5"/>
  <c r="J2136" i="5"/>
  <c r="I2136" i="5"/>
  <c r="H2136" i="5"/>
  <c r="X2136" i="5"/>
  <c r="F2136" i="5"/>
  <c r="F2050" i="5"/>
  <c r="X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X2006" i="5"/>
  <c r="F1868" i="5"/>
  <c r="R1868" i="5"/>
  <c r="J1868" i="5"/>
  <c r="I1868" i="5"/>
  <c r="H1868" i="5"/>
  <c r="R1986" i="5"/>
  <c r="J1986" i="5"/>
  <c r="I1986" i="5"/>
  <c r="H1986" i="5"/>
  <c r="F1986" i="5"/>
  <c r="R1954" i="5"/>
  <c r="I1954" i="5"/>
  <c r="H1954" i="5"/>
  <c r="F1954" i="5"/>
  <c r="J1954" i="5"/>
  <c r="X1954" i="5"/>
  <c r="I1817" i="5"/>
  <c r="X1817" i="5"/>
  <c r="R1817" i="5"/>
  <c r="J1817" i="5"/>
  <c r="H1817" i="5"/>
  <c r="F1817" i="5"/>
  <c r="H1799" i="5"/>
  <c r="F1799" i="5"/>
  <c r="R1799" i="5"/>
  <c r="J1799" i="5"/>
  <c r="I1799" i="5"/>
  <c r="I1950" i="5"/>
  <c r="H1950" i="5"/>
  <c r="F1950" i="5"/>
  <c r="R1950" i="5"/>
  <c r="J1950" i="5"/>
  <c r="X1950" i="5"/>
  <c r="I1938" i="5"/>
  <c r="H1938" i="5"/>
  <c r="F1938" i="5"/>
  <c r="R1938" i="5"/>
  <c r="J1938" i="5"/>
  <c r="X1938"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X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X1374" i="5"/>
  <c r="J1374" i="5"/>
  <c r="I1374" i="5"/>
  <c r="H1374" i="5"/>
  <c r="I1375" i="5"/>
  <c r="H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X1378" i="5"/>
  <c r="J1378" i="5"/>
  <c r="J1146" i="5"/>
  <c r="I1146" i="5"/>
  <c r="H1146" i="5"/>
  <c r="R1146" i="5"/>
  <c r="F1146" i="5"/>
  <c r="R1564" i="5"/>
  <c r="J1564" i="5"/>
  <c r="I1564" i="5"/>
  <c r="H1564" i="5"/>
  <c r="F1564" i="5"/>
  <c r="I1496" i="5"/>
  <c r="H1496" i="5"/>
  <c r="F1496" i="5"/>
  <c r="X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R1084" i="5"/>
  <c r="J1084" i="5"/>
  <c r="I1084" i="5"/>
  <c r="F1266" i="5"/>
  <c r="X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R366" i="5"/>
  <c r="R390" i="5"/>
  <c r="J390" i="5"/>
  <c r="I390" i="5"/>
  <c r="H390" i="5"/>
  <c r="F390" i="5"/>
  <c r="R386" i="5"/>
  <c r="J386" i="5"/>
  <c r="I386" i="5"/>
  <c r="H386" i="5"/>
  <c r="F386" i="5"/>
  <c r="R367" i="5"/>
  <c r="R342" i="5"/>
  <c r="R296" i="5"/>
  <c r="R288" i="5"/>
  <c r="R280" i="5"/>
  <c r="R272" i="5"/>
  <c r="R264" i="5"/>
  <c r="R256" i="5"/>
  <c r="R248" i="5"/>
  <c r="R240" i="5"/>
  <c r="R232" i="5"/>
  <c r="R224" i="5"/>
  <c r="R382" i="5"/>
  <c r="I382" i="5"/>
  <c r="H382" i="5"/>
  <c r="F382" i="5"/>
  <c r="J382" i="5"/>
  <c r="T382" i="5"/>
  <c r="R359" i="5"/>
  <c r="R196" i="5"/>
  <c r="R208" i="5"/>
  <c r="R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X2214" i="5"/>
  <c r="H2127" i="5"/>
  <c r="F2127" i="5"/>
  <c r="J2127" i="5"/>
  <c r="I2127" i="5"/>
  <c r="R2127" i="5"/>
  <c r="F2102" i="5"/>
  <c r="X2102" i="5"/>
  <c r="I2102" i="5"/>
  <c r="H2102" i="5"/>
  <c r="J2102" i="5"/>
  <c r="R2102" i="5"/>
  <c r="R1994" i="5"/>
  <c r="J1994" i="5"/>
  <c r="I1994" i="5"/>
  <c r="H1994" i="5"/>
  <c r="F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R1772" i="5"/>
  <c r="I1603" i="5"/>
  <c r="H1603" i="5"/>
  <c r="F1603" i="5"/>
  <c r="R1603" i="5"/>
  <c r="J1603" i="5"/>
  <c r="I1536" i="5"/>
  <c r="H1536" i="5"/>
  <c r="F1536" i="5"/>
  <c r="X1536" i="5"/>
  <c r="J1536" i="5"/>
  <c r="R1536" i="5"/>
  <c r="I1391" i="5"/>
  <c r="H1391" i="5"/>
  <c r="F1391" i="5"/>
  <c r="R1391" i="5"/>
  <c r="J1391" i="5"/>
  <c r="H1203" i="5"/>
  <c r="F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X874" i="5"/>
  <c r="J874" i="5"/>
  <c r="F874" i="5"/>
  <c r="F853" i="5"/>
  <c r="R853" i="5"/>
  <c r="I853" i="5"/>
  <c r="J853" i="5"/>
  <c r="H853" i="5"/>
  <c r="H818" i="5"/>
  <c r="R818" i="5"/>
  <c r="J818" i="5"/>
  <c r="I818" i="5"/>
  <c r="F818" i="5"/>
  <c r="I625" i="5"/>
  <c r="H625" i="5"/>
  <c r="F625" i="5"/>
  <c r="X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R2463" i="5"/>
  <c r="J2463" i="5"/>
  <c r="F2323" i="5"/>
  <c r="J2323" i="5"/>
  <c r="R2323" i="5"/>
  <c r="I2323" i="5"/>
  <c r="H2323" i="5"/>
  <c r="I2300" i="5"/>
  <c r="J2300" i="5"/>
  <c r="H2300" i="5"/>
  <c r="F2300" i="5"/>
  <c r="R2300" i="5"/>
  <c r="R2168" i="5"/>
  <c r="J2168" i="5"/>
  <c r="I2168" i="5"/>
  <c r="H2168" i="5"/>
  <c r="X2168" i="5"/>
  <c r="F2168" i="5"/>
  <c r="F2074" i="5"/>
  <c r="R2074" i="5"/>
  <c r="J2074" i="5"/>
  <c r="I2074" i="5"/>
  <c r="H2074" i="5"/>
  <c r="R2060" i="5"/>
  <c r="J2060" i="5"/>
  <c r="H2060" i="5"/>
  <c r="F2060" i="5"/>
  <c r="I2060" i="5"/>
  <c r="R2088" i="5"/>
  <c r="J2088" i="5"/>
  <c r="I2088" i="5"/>
  <c r="H2088" i="5"/>
  <c r="F2088" i="5"/>
  <c r="X2088" i="5"/>
  <c r="R2042" i="5"/>
  <c r="J2042" i="5"/>
  <c r="I2042" i="5"/>
  <c r="H2042" i="5"/>
  <c r="F2042" i="5"/>
  <c r="R1822" i="5"/>
  <c r="I1822" i="5"/>
  <c r="X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X1559" i="5"/>
  <c r="R1348" i="5"/>
  <c r="F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H1072" i="5"/>
  <c r="F1072" i="5"/>
  <c r="X1072" i="5"/>
  <c r="R1072" i="5"/>
  <c r="I1072" i="5"/>
  <c r="J1072" i="5"/>
  <c r="H1008" i="5"/>
  <c r="F1008" i="5"/>
  <c r="X1008" i="5"/>
  <c r="R1008" i="5"/>
  <c r="J1008" i="5"/>
  <c r="I1008" i="5"/>
  <c r="H1100" i="5"/>
  <c r="F1100" i="5"/>
  <c r="R1100" i="5"/>
  <c r="J1100" i="5"/>
  <c r="I1100" i="5"/>
  <c r="J1017" i="5"/>
  <c r="I1017" i="5"/>
  <c r="H1017" i="5"/>
  <c r="R1017" i="5"/>
  <c r="F1017" i="5"/>
  <c r="J1129" i="5"/>
  <c r="I1129" i="5"/>
  <c r="H1129" i="5"/>
  <c r="X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F2406" i="5"/>
  <c r="H2406" i="5"/>
  <c r="R2406" i="5"/>
  <c r="J2406" i="5"/>
  <c r="I2406" i="5"/>
  <c r="J2440" i="5"/>
  <c r="R2440" i="5"/>
  <c r="I2440" i="5"/>
  <c r="X2440" i="5"/>
  <c r="H2440" i="5"/>
  <c r="F2440" i="5"/>
  <c r="F2485" i="5"/>
  <c r="R2485" i="5"/>
  <c r="J2485" i="5"/>
  <c r="I2485" i="5"/>
  <c r="H2485" i="5"/>
  <c r="J2444" i="5"/>
  <c r="I2444" i="5"/>
  <c r="H2444" i="5"/>
  <c r="R2444" i="5"/>
  <c r="F2444" i="5"/>
  <c r="J2362" i="5"/>
  <c r="H2362" i="5"/>
  <c r="F2362" i="5"/>
  <c r="R2362" i="5"/>
  <c r="I2362" i="5"/>
  <c r="R2416" i="5"/>
  <c r="J2416" i="5"/>
  <c r="I2416" i="5"/>
  <c r="H2416" i="5"/>
  <c r="F2416" i="5"/>
  <c r="X2416" i="5"/>
  <c r="R2428" i="5"/>
  <c r="J2428" i="5"/>
  <c r="I2428" i="5"/>
  <c r="H2428" i="5"/>
  <c r="F2428" i="5"/>
  <c r="I2411" i="5"/>
  <c r="H2411" i="5"/>
  <c r="F2411" i="5"/>
  <c r="R2411" i="5"/>
  <c r="J2411" i="5"/>
  <c r="J2332" i="5"/>
  <c r="I2332" i="5"/>
  <c r="H2332" i="5"/>
  <c r="F2332" i="5"/>
  <c r="R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R2298" i="5"/>
  <c r="I2298" i="5"/>
  <c r="J2298" i="5"/>
  <c r="H2298" i="5"/>
  <c r="F2298" i="5"/>
  <c r="I2304" i="5"/>
  <c r="H2304" i="5"/>
  <c r="R2304" i="5"/>
  <c r="J2304" i="5"/>
  <c r="X2304" i="5"/>
  <c r="F2304" i="5"/>
  <c r="H2234" i="5"/>
  <c r="F2234" i="5"/>
  <c r="R2234" i="5"/>
  <c r="J2234" i="5"/>
  <c r="I2234" i="5"/>
  <c r="H2242" i="5"/>
  <c r="F2242" i="5"/>
  <c r="X2242" i="5"/>
  <c r="R2242" i="5"/>
  <c r="J2242" i="5"/>
  <c r="I2242" i="5"/>
  <c r="R2140" i="5"/>
  <c r="J2140" i="5"/>
  <c r="I2140" i="5"/>
  <c r="H2140" i="5"/>
  <c r="F2140" i="5"/>
  <c r="J2124" i="5"/>
  <c r="I2124" i="5"/>
  <c r="H2124" i="5"/>
  <c r="R2124" i="5"/>
  <c r="F2124" i="5"/>
  <c r="F2110" i="5"/>
  <c r="I2110" i="5"/>
  <c r="H2110" i="5"/>
  <c r="R2110" i="5"/>
  <c r="J2110" i="5"/>
  <c r="F2094" i="5"/>
  <c r="X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R1870" i="5"/>
  <c r="J1870" i="5"/>
  <c r="I1870" i="5"/>
  <c r="H1870" i="5"/>
  <c r="F1870" i="5"/>
  <c r="X1870" i="5"/>
  <c r="R1854" i="5"/>
  <c r="J1854" i="5"/>
  <c r="I1854" i="5"/>
  <c r="H1854" i="5"/>
  <c r="F1854" i="5"/>
  <c r="H1795" i="5"/>
  <c r="F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R1574" i="5"/>
  <c r="J1574" i="5"/>
  <c r="I1574" i="5"/>
  <c r="H1574" i="5"/>
  <c r="F1558" i="5"/>
  <c r="X1558" i="5"/>
  <c r="R1558" i="5"/>
  <c r="J1558" i="5"/>
  <c r="I1558" i="5"/>
  <c r="H1558" i="5"/>
  <c r="R1931" i="5"/>
  <c r="J1931" i="5"/>
  <c r="I1931" i="5"/>
  <c r="H1931" i="5"/>
  <c r="F1931" i="5"/>
  <c r="H1759" i="5"/>
  <c r="F1759" i="5"/>
  <c r="R1759" i="5"/>
  <c r="J1759" i="5"/>
  <c r="I1759" i="5"/>
  <c r="X183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R1247" i="5"/>
  <c r="J1247" i="5"/>
  <c r="H1460" i="5"/>
  <c r="F1460" i="5"/>
  <c r="J1460" i="5"/>
  <c r="I1460" i="5"/>
  <c r="R1460" i="5"/>
  <c r="X1750" i="5"/>
  <c r="R1750" i="5"/>
  <c r="I1750" i="5"/>
  <c r="J1750" i="5"/>
  <c r="H1750" i="5"/>
  <c r="F1750" i="5"/>
  <c r="H1251" i="5"/>
  <c r="R1251" i="5"/>
  <c r="J1251" i="5"/>
  <c r="I1251" i="5"/>
  <c r="F1251" i="5"/>
  <c r="R1568" i="5"/>
  <c r="J1568" i="5"/>
  <c r="I1568" i="5"/>
  <c r="H1568" i="5"/>
  <c r="F1568" i="5"/>
  <c r="X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X952" i="5"/>
  <c r="R952" i="5"/>
  <c r="J952" i="5"/>
  <c r="I952" i="5"/>
  <c r="H952" i="5"/>
  <c r="F976" i="5"/>
  <c r="X976" i="5"/>
  <c r="R976" i="5"/>
  <c r="J976" i="5"/>
  <c r="I976" i="5"/>
  <c r="H976" i="5"/>
  <c r="H1020" i="5"/>
  <c r="F1020" i="5"/>
  <c r="R1020" i="5"/>
  <c r="J1020" i="5"/>
  <c r="I1020" i="5"/>
  <c r="X928"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X970" i="5"/>
  <c r="H970" i="5"/>
  <c r="F970" i="5"/>
  <c r="J811" i="5"/>
  <c r="R811" i="5"/>
  <c r="I811" i="5"/>
  <c r="H811" i="5"/>
  <c r="F811" i="5"/>
  <c r="R918" i="5"/>
  <c r="I918" i="5"/>
  <c r="J918" i="5"/>
  <c r="H918" i="5"/>
  <c r="X918" i="5"/>
  <c r="F918" i="5"/>
  <c r="J1097" i="5"/>
  <c r="I1097" i="5"/>
  <c r="H1097" i="5"/>
  <c r="X1097" i="5"/>
  <c r="R1097" i="5"/>
  <c r="F1097" i="5"/>
  <c r="F833" i="5"/>
  <c r="R833" i="5"/>
  <c r="I833" i="5"/>
  <c r="J833" i="5"/>
  <c r="H833" i="5"/>
  <c r="I673" i="5"/>
  <c r="H673" i="5"/>
  <c r="F673" i="5"/>
  <c r="R673" i="5"/>
  <c r="J673" i="5"/>
  <c r="I641" i="5"/>
  <c r="H641" i="5"/>
  <c r="F641" i="5"/>
  <c r="X641" i="5"/>
  <c r="R641" i="5"/>
  <c r="J641" i="5"/>
  <c r="I609" i="5"/>
  <c r="H609" i="5"/>
  <c r="F609" i="5"/>
  <c r="R609" i="5"/>
  <c r="J609" i="5"/>
  <c r="X671" i="5"/>
  <c r="R671" i="5"/>
  <c r="J671" i="5"/>
  <c r="I671" i="5"/>
  <c r="H671" i="5"/>
  <c r="F671" i="5"/>
  <c r="R663" i="5"/>
  <c r="J663" i="5"/>
  <c r="I663" i="5"/>
  <c r="H663" i="5"/>
  <c r="F663" i="5"/>
  <c r="X655" i="5"/>
  <c r="R655" i="5"/>
  <c r="J655" i="5"/>
  <c r="I655" i="5"/>
  <c r="H655" i="5"/>
  <c r="F655" i="5"/>
  <c r="R647" i="5"/>
  <c r="J647" i="5"/>
  <c r="I647" i="5"/>
  <c r="H647" i="5"/>
  <c r="F647" i="5"/>
  <c r="X639" i="5"/>
  <c r="R639" i="5"/>
  <c r="J639" i="5"/>
  <c r="I639" i="5"/>
  <c r="H639" i="5"/>
  <c r="F639" i="5"/>
  <c r="R631" i="5"/>
  <c r="J631" i="5"/>
  <c r="I631" i="5"/>
  <c r="H631" i="5"/>
  <c r="F631"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R316" i="5"/>
  <c r="R172" i="5"/>
  <c r="R160" i="5"/>
  <c r="R180" i="5"/>
  <c r="R200" i="5"/>
  <c r="R156" i="5"/>
  <c r="R308" i="5"/>
  <c r="R100" i="5"/>
  <c r="R312" i="5"/>
  <c r="R188" i="5"/>
  <c r="R2432" i="5"/>
  <c r="J2432" i="5"/>
  <c r="I2432" i="5"/>
  <c r="H2432" i="5"/>
  <c r="F2432" i="5"/>
  <c r="X2432" i="5"/>
  <c r="I2423" i="5"/>
  <c r="H2423" i="5"/>
  <c r="F2423" i="5"/>
  <c r="X2423" i="5"/>
  <c r="R2423" i="5"/>
  <c r="J2423" i="5"/>
  <c r="J2216" i="5"/>
  <c r="X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X2455" i="5"/>
  <c r="R2455" i="5"/>
  <c r="J2455" i="5"/>
  <c r="I1623" i="5"/>
  <c r="H1623" i="5"/>
  <c r="F1623" i="5"/>
  <c r="R1623" i="5"/>
  <c r="J1623" i="5"/>
  <c r="X1623" i="5"/>
  <c r="I1516" i="5"/>
  <c r="H1516" i="5"/>
  <c r="F1516" i="5"/>
  <c r="J1516" i="5"/>
  <c r="R1516" i="5"/>
  <c r="F1390" i="5"/>
  <c r="R1390" i="5"/>
  <c r="X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H2471" i="5"/>
  <c r="I2471" i="5"/>
  <c r="F2471" i="5"/>
  <c r="R2471" i="5"/>
  <c r="J2471" i="5"/>
  <c r="H2486" i="5"/>
  <c r="I2486" i="5"/>
  <c r="F2486" i="5"/>
  <c r="R2486" i="5"/>
  <c r="J2486" i="5"/>
  <c r="X2486" i="5"/>
  <c r="F2402" i="5"/>
  <c r="I2402" i="5"/>
  <c r="H2402" i="5"/>
  <c r="R2402" i="5"/>
  <c r="J2402" i="5"/>
  <c r="H2478" i="5"/>
  <c r="I2478" i="5"/>
  <c r="F2478" i="5"/>
  <c r="R2478" i="5"/>
  <c r="J2478" i="5"/>
  <c r="H2490" i="5"/>
  <c r="F2490" i="5"/>
  <c r="I2490" i="5"/>
  <c r="R2490" i="5"/>
  <c r="J2490" i="5"/>
  <c r="H2343" i="5"/>
  <c r="F2343" i="5"/>
  <c r="R2343" i="5"/>
  <c r="J2343" i="5"/>
  <c r="I2343" i="5"/>
  <c r="H2335" i="5"/>
  <c r="F2335" i="5"/>
  <c r="X2335" i="5"/>
  <c r="R2335" i="5"/>
  <c r="I2335" i="5"/>
  <c r="J2335" i="5"/>
  <c r="J2328" i="5"/>
  <c r="I2328" i="5"/>
  <c r="H2328" i="5"/>
  <c r="X2328" i="5"/>
  <c r="R2328" i="5"/>
  <c r="F2328" i="5"/>
  <c r="I2283" i="5"/>
  <c r="R2283" i="5"/>
  <c r="J2283" i="5"/>
  <c r="H2283" i="5"/>
  <c r="F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X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X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X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X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R152" i="5"/>
  <c r="R212" i="5"/>
  <c r="R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R2377" i="5"/>
  <c r="H2361" i="5"/>
  <c r="F2361" i="5"/>
  <c r="J2361" i="5"/>
  <c r="I2361" i="5"/>
  <c r="X2361" i="5"/>
  <c r="R2361" i="5"/>
  <c r="R2275" i="5"/>
  <c r="J2275" i="5"/>
  <c r="H2275" i="5"/>
  <c r="I2275" i="5"/>
  <c r="F2275" i="5"/>
  <c r="J2384" i="5"/>
  <c r="I2384" i="5"/>
  <c r="R2384" i="5"/>
  <c r="H2384" i="5"/>
  <c r="F2384" i="5"/>
  <c r="X2384" i="5"/>
  <c r="H2230" i="5"/>
  <c r="F2230" i="5"/>
  <c r="R2230" i="5"/>
  <c r="J2230" i="5"/>
  <c r="I2230" i="5"/>
  <c r="X2230" i="5"/>
  <c r="J2231" i="5"/>
  <c r="I2231" i="5"/>
  <c r="H2231" i="5"/>
  <c r="F2231" i="5"/>
  <c r="R2231" i="5"/>
  <c r="J2183" i="5"/>
  <c r="I2183" i="5"/>
  <c r="H2183" i="5"/>
  <c r="F2183" i="5"/>
  <c r="R2183" i="5"/>
  <c r="I2163" i="5"/>
  <c r="H2163" i="5"/>
  <c r="F2163" i="5"/>
  <c r="R2163" i="5"/>
  <c r="J2163" i="5"/>
  <c r="F2106" i="5"/>
  <c r="I2106" i="5"/>
  <c r="H2106" i="5"/>
  <c r="R2106" i="5"/>
  <c r="J2106" i="5"/>
  <c r="F2090" i="5"/>
  <c r="X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I2068" i="5"/>
  <c r="I2049" i="5"/>
  <c r="H2049" i="5"/>
  <c r="F2049" i="5"/>
  <c r="X2049" i="5"/>
  <c r="R2049" i="5"/>
  <c r="J2049" i="5"/>
  <c r="R1962" i="5"/>
  <c r="J1962" i="5"/>
  <c r="I1962" i="5"/>
  <c r="H1962" i="5"/>
  <c r="F1962" i="5"/>
  <c r="F1856" i="5"/>
  <c r="X1856" i="5"/>
  <c r="J1856" i="5"/>
  <c r="H1856" i="5"/>
  <c r="R1856" i="5"/>
  <c r="I1856" i="5"/>
  <c r="I1869" i="5"/>
  <c r="H1869" i="5"/>
  <c r="F1869" i="5"/>
  <c r="R1869" i="5"/>
  <c r="J1869" i="5"/>
  <c r="I1849" i="5"/>
  <c r="H1849" i="5"/>
  <c r="F1849" i="5"/>
  <c r="R1849" i="5"/>
  <c r="J1849" i="5"/>
  <c r="X1849" i="5"/>
  <c r="I1829" i="5"/>
  <c r="F1829" i="5"/>
  <c r="R1829" i="5"/>
  <c r="J1829" i="5"/>
  <c r="H1829" i="5"/>
  <c r="H1787" i="5"/>
  <c r="F1787" i="5"/>
  <c r="R1787" i="5"/>
  <c r="J1787" i="5"/>
  <c r="I1787" i="5"/>
  <c r="I1922" i="5"/>
  <c r="H1922" i="5"/>
  <c r="F1922" i="5"/>
  <c r="R1922" i="5"/>
  <c r="J1922" i="5"/>
  <c r="X1896"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X1714" i="5"/>
  <c r="R1714" i="5"/>
  <c r="J1714" i="5"/>
  <c r="I1698" i="5"/>
  <c r="H1698" i="5"/>
  <c r="F1698" i="5"/>
  <c r="R1698" i="5"/>
  <c r="J1698" i="5"/>
  <c r="I1682" i="5"/>
  <c r="H1682" i="5"/>
  <c r="F1682" i="5"/>
  <c r="R1682" i="5"/>
  <c r="J1682" i="5"/>
  <c r="I1666" i="5"/>
  <c r="H1666" i="5"/>
  <c r="F1666" i="5"/>
  <c r="R1666" i="5"/>
  <c r="J1666" i="5"/>
  <c r="I1650" i="5"/>
  <c r="H1650" i="5"/>
  <c r="F1650" i="5"/>
  <c r="X1650" i="5"/>
  <c r="R1650" i="5"/>
  <c r="J1650" i="5"/>
  <c r="I1634" i="5"/>
  <c r="H1634" i="5"/>
  <c r="F1634" i="5"/>
  <c r="R1634" i="5"/>
  <c r="J1634" i="5"/>
  <c r="F1618" i="5"/>
  <c r="R1618" i="5"/>
  <c r="J1618" i="5"/>
  <c r="I1618" i="5"/>
  <c r="H1618" i="5"/>
  <c r="F1602" i="5"/>
  <c r="X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R1540" i="5"/>
  <c r="J1540" i="5"/>
  <c r="J1433" i="5"/>
  <c r="I1433" i="5"/>
  <c r="H1433" i="5"/>
  <c r="R1433" i="5"/>
  <c r="F1433" i="5"/>
  <c r="X1433" i="5"/>
  <c r="J1425" i="5"/>
  <c r="I1425" i="5"/>
  <c r="H1425" i="5"/>
  <c r="R1425" i="5"/>
  <c r="F1425" i="5"/>
  <c r="X1425" i="5"/>
  <c r="I1595" i="5"/>
  <c r="H1595" i="5"/>
  <c r="F1595" i="5"/>
  <c r="R1595" i="5"/>
  <c r="J1595" i="5"/>
  <c r="I1563" i="5"/>
  <c r="H1563" i="5"/>
  <c r="F1563" i="5"/>
  <c r="R1563" i="5"/>
  <c r="J1563" i="5"/>
  <c r="H1472" i="5"/>
  <c r="F1472" i="5"/>
  <c r="X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X1576" i="5"/>
  <c r="H1428" i="5"/>
  <c r="R1428" i="5"/>
  <c r="F1428" i="5"/>
  <c r="J1428" i="5"/>
  <c r="I1428" i="5"/>
  <c r="H1159" i="5"/>
  <c r="X1159" i="5"/>
  <c r="J1159" i="5"/>
  <c r="R1159" i="5"/>
  <c r="I1159" i="5"/>
  <c r="F1159" i="5"/>
  <c r="H1150" i="5"/>
  <c r="F1150" i="5"/>
  <c r="R1150" i="5"/>
  <c r="I1150" i="5"/>
  <c r="J1150" i="5"/>
  <c r="H1239" i="5"/>
  <c r="R1239" i="5"/>
  <c r="J1239" i="5"/>
  <c r="I1239" i="5"/>
  <c r="F1239" i="5"/>
  <c r="H1175" i="5"/>
  <c r="R1175" i="5"/>
  <c r="J1175" i="5"/>
  <c r="I1175" i="5"/>
  <c r="F1175" i="5"/>
  <c r="X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F946" i="5"/>
  <c r="R958" i="5"/>
  <c r="J958" i="5"/>
  <c r="I958" i="5"/>
  <c r="X958" i="5"/>
  <c r="F958" i="5"/>
  <c r="H958" i="5"/>
  <c r="I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F902" i="5"/>
  <c r="R890" i="5"/>
  <c r="I890" i="5"/>
  <c r="H890" i="5"/>
  <c r="J890" i="5"/>
  <c r="F890" i="5"/>
  <c r="J977" i="5"/>
  <c r="I977" i="5"/>
  <c r="H977" i="5"/>
  <c r="X977" i="5"/>
  <c r="R977" i="5"/>
  <c r="F977" i="5"/>
  <c r="F849" i="5"/>
  <c r="R849" i="5"/>
  <c r="I849" i="5"/>
  <c r="J849" i="5"/>
  <c r="H849" i="5"/>
  <c r="I649" i="5"/>
  <c r="H649" i="5"/>
  <c r="F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R108" i="5"/>
  <c r="R128" i="5"/>
  <c r="R136" i="5"/>
  <c r="R320" i="5"/>
  <c r="R112" i="5"/>
  <c r="S566" i="5"/>
  <c r="S412" i="5"/>
  <c r="S542" i="5"/>
  <c r="S482" i="5"/>
  <c r="S546" i="5"/>
  <c r="S563" i="5"/>
  <c r="S459" i="5"/>
  <c r="S373" i="5"/>
  <c r="S499" i="5"/>
  <c r="S455" i="5"/>
  <c r="S495" i="5"/>
  <c r="T574" i="5"/>
  <c r="T403" i="5"/>
  <c r="T580" i="5"/>
  <c r="T435" i="5"/>
  <c r="T431" i="5"/>
  <c r="T529" i="5"/>
  <c r="T469" i="5"/>
  <c r="T537" i="5"/>
  <c r="T518" i="5"/>
  <c r="T410" i="5"/>
  <c r="T575" i="5"/>
  <c r="T475" i="5"/>
  <c r="T525" i="5"/>
  <c r="T406" i="5"/>
  <c r="T569" i="5"/>
  <c r="S508" i="5"/>
  <c r="S384" i="5"/>
  <c r="S523" i="5"/>
  <c r="S535" i="5"/>
  <c r="S476" i="5"/>
  <c r="S371" i="5"/>
  <c r="T463" i="5"/>
  <c r="T562" i="5"/>
  <c r="T592" i="5"/>
  <c r="T423" i="5"/>
  <c r="T588" i="5"/>
  <c r="T567" i="5"/>
  <c r="T486" i="5"/>
  <c r="T398" i="5"/>
  <c r="T502" i="5"/>
  <c r="T501" i="5"/>
  <c r="T460" i="5"/>
  <c r="T553" i="5"/>
  <c r="T414" i="5"/>
  <c r="S492" i="5"/>
  <c r="S456" i="5"/>
  <c r="S376" i="5"/>
  <c r="S504" i="5"/>
  <c r="S483" i="5"/>
  <c r="S488" i="5"/>
  <c r="S590" i="5"/>
  <c r="S530" i="5"/>
  <c r="S480" i="5"/>
  <c r="S531" i="5"/>
  <c r="S399" i="5"/>
  <c r="T447" i="5"/>
  <c r="T439" i="5"/>
  <c r="T379" i="5"/>
  <c r="T402" i="5"/>
  <c r="T442" i="5"/>
  <c r="T565" i="5"/>
  <c r="T549" i="5"/>
  <c r="T426" i="5"/>
  <c r="T422" i="5"/>
  <c r="S528" i="5"/>
  <c r="S516" i="5"/>
  <c r="S594" i="5"/>
  <c r="S507" i="5"/>
  <c r="S451" i="5"/>
  <c r="T578" i="5"/>
  <c r="T395" i="5"/>
  <c r="T411" i="5"/>
  <c r="T496" i="5"/>
  <c r="T583" i="5"/>
  <c r="T467" i="5"/>
  <c r="T521" i="5"/>
  <c r="T493" i="5"/>
  <c r="T462" i="5"/>
  <c r="T465" i="5"/>
  <c r="T561" i="5"/>
  <c r="T434" i="5"/>
  <c r="T370" i="5"/>
  <c r="T505" i="5"/>
  <c r="T450" i="5"/>
  <c r="T485" i="5"/>
  <c r="T430" i="5"/>
  <c r="T571" i="5"/>
  <c r="T438" i="5"/>
  <c r="T112" i="5"/>
  <c r="T481" i="5"/>
  <c r="S582" i="5"/>
  <c r="S500" i="5"/>
  <c r="S512" i="5"/>
  <c r="S503" i="5"/>
  <c r="S478" i="5"/>
  <c r="S514" i="5"/>
  <c r="S558" i="5"/>
  <c r="S387" i="5"/>
  <c r="S559" i="5"/>
  <c r="S487" i="5"/>
  <c r="S551" i="5"/>
  <c r="S519" i="5"/>
  <c r="T608" i="5"/>
  <c r="T466" i="5"/>
  <c r="T378" i="5"/>
  <c r="T490" i="5"/>
  <c r="T579" i="5"/>
  <c r="T609" i="5"/>
  <c r="T458" i="5"/>
  <c r="T589" i="5"/>
  <c r="T474" i="5"/>
  <c r="T418" i="5"/>
  <c r="S547" i="5"/>
  <c r="S544" i="5"/>
  <c r="S526" i="5"/>
  <c r="S379" i="5"/>
  <c r="T419" i="5"/>
  <c r="T596" i="5"/>
  <c r="T472" i="5"/>
  <c r="T509" i="5"/>
  <c r="T394" i="5"/>
  <c r="T577" i="5"/>
  <c r="T534" i="5"/>
  <c r="T506" i="5"/>
  <c r="T473" i="5"/>
  <c r="T517" i="5"/>
  <c r="T585" i="5"/>
  <c r="T386" i="5"/>
  <c r="T489" i="5"/>
  <c r="T554" i="5"/>
  <c r="T446" i="5"/>
  <c r="S540" i="5"/>
  <c r="S520" i="5"/>
  <c r="S550" i="5"/>
  <c r="S536" i="5"/>
  <c r="S498" i="5"/>
  <c r="S484" i="5"/>
  <c r="S471" i="5"/>
  <c r="S515" i="5"/>
  <c r="T595" i="5"/>
  <c r="T591" i="5"/>
  <c r="T522" i="5"/>
  <c r="T477" i="5"/>
  <c r="T557" i="5"/>
  <c r="T581" i="5"/>
  <c r="T497" i="5"/>
  <c r="T587" i="5"/>
  <c r="T454" i="5"/>
  <c r="T593" i="5"/>
  <c r="S555" i="5"/>
  <c r="S570" i="5"/>
  <c r="S527" i="5"/>
  <c r="S369" i="5"/>
  <c r="S381" i="5"/>
  <c r="T391" i="5"/>
  <c r="T407" i="5"/>
  <c r="T427" i="5"/>
  <c r="T576" i="5"/>
  <c r="T524" i="5"/>
  <c r="T541" i="5"/>
  <c r="T374" i="5"/>
  <c r="T538" i="5"/>
  <c r="T545" i="5"/>
  <c r="T390" i="5"/>
  <c r="T375" i="5"/>
  <c r="T513" i="5"/>
  <c r="T573" i="5"/>
  <c r="S597" i="5"/>
  <c r="X505" i="5"/>
  <c r="S599" i="5"/>
  <c r="X462" i="5"/>
  <c r="X502" i="5"/>
  <c r="S611" i="5"/>
  <c r="X398" i="5"/>
  <c r="X538" i="5"/>
  <c r="X577" i="5"/>
  <c r="S601" i="5"/>
  <c r="X521" i="5"/>
  <c r="X486" i="5"/>
  <c r="X472" i="5"/>
  <c r="X287" i="5"/>
  <c r="X152" i="5"/>
  <c r="X232" i="5"/>
  <c r="X264" i="5"/>
  <c r="X296" i="5"/>
  <c r="X192" i="5"/>
  <c r="X518" i="5"/>
  <c r="X176" i="5"/>
  <c r="X378" i="5"/>
  <c r="X151" i="5"/>
  <c r="X281" i="5"/>
  <c r="X496" i="5"/>
  <c r="X103" i="5"/>
  <c r="X320" i="5"/>
  <c r="X454" i="5"/>
  <c r="X370" i="5"/>
  <c r="X359" i="5"/>
  <c r="X366" i="5"/>
  <c r="X328" i="5"/>
  <c r="X506" i="5"/>
  <c r="X591" i="5"/>
  <c r="X600" i="5"/>
  <c r="S600" i="5"/>
  <c r="X191" i="5"/>
  <c r="X481" i="5"/>
  <c r="X112" i="5"/>
  <c r="X569" i="5"/>
  <c r="X168" i="5"/>
  <c r="X200" i="5"/>
  <c r="X144" i="5"/>
  <c r="X208" i="5"/>
  <c r="X382" i="5"/>
  <c r="S382" i="5"/>
  <c r="X224" i="5"/>
  <c r="X256" i="5"/>
  <c r="X288" i="5"/>
  <c r="X367" i="5"/>
  <c r="X390" i="5"/>
  <c r="X537" i="5"/>
  <c r="X529" i="5"/>
  <c r="X305" i="5"/>
  <c r="X334" i="5"/>
  <c r="X207" i="5"/>
  <c r="X306" i="5"/>
  <c r="X592" i="5"/>
  <c r="S533" i="5"/>
  <c r="X438" i="5"/>
  <c r="X458" i="5"/>
  <c r="X561" i="5"/>
  <c r="X386" i="5"/>
  <c r="X545" i="5"/>
  <c r="X575" i="5"/>
  <c r="X216" i="5"/>
  <c r="X534" i="5"/>
  <c r="X391" i="5"/>
  <c r="X602" i="5"/>
  <c r="S602" i="5"/>
  <c r="X262" i="5"/>
  <c r="X350" i="5"/>
  <c r="X430" i="5"/>
  <c r="X497" i="5"/>
  <c r="X312" i="5"/>
  <c r="X358" i="5"/>
  <c r="S603" i="5"/>
  <c r="X248" i="5"/>
  <c r="X280" i="5"/>
  <c r="X184" i="5"/>
  <c r="X104" i="5"/>
  <c r="X374" i="5"/>
  <c r="S605" i="5"/>
  <c r="X279" i="5"/>
  <c r="X102" i="5"/>
  <c r="X128" i="5"/>
  <c r="X554" i="5"/>
  <c r="X607" i="5"/>
  <c r="S607" i="5"/>
  <c r="X426" i="5"/>
  <c r="X342" i="5"/>
  <c r="X473" i="5"/>
  <c r="X442" i="5"/>
  <c r="X303" i="5"/>
  <c r="X576" i="5"/>
  <c r="X215" i="5"/>
  <c r="X87" i="5"/>
  <c r="X314" i="5"/>
  <c r="X136" i="5"/>
  <c r="X474" i="5"/>
  <c r="X593" i="5"/>
  <c r="X160" i="5"/>
  <c r="X240" i="5"/>
  <c r="X272" i="5"/>
  <c r="X585" i="5"/>
  <c r="X120" i="5"/>
  <c r="X583" i="5"/>
  <c r="X239" i="5"/>
  <c r="X608" i="5"/>
  <c r="X71" i="5"/>
  <c r="X265" i="5"/>
  <c r="X574" i="5"/>
  <c r="AB12" i="5"/>
  <c r="AB9" i="5"/>
  <c r="AB10" i="5"/>
  <c r="AB14" i="5"/>
  <c r="AB17" i="5"/>
  <c r="AB16" i="5"/>
  <c r="AB8" i="5"/>
  <c r="G65" i="6" s="1"/>
  <c r="AB13" i="5"/>
  <c r="AB15" i="5"/>
  <c r="AB11" i="5"/>
  <c r="AB7" i="5"/>
  <c r="S430" i="5"/>
  <c r="S443" i="5"/>
  <c r="S419" i="5"/>
  <c r="S589" i="5"/>
  <c r="S521" i="5"/>
  <c r="S472" i="5"/>
  <c r="S596" i="5"/>
  <c r="S496" i="5"/>
  <c r="S591" i="5"/>
  <c r="S439" i="5"/>
  <c r="S403" i="5"/>
  <c r="S569" i="5"/>
  <c r="S553" i="5"/>
  <c r="S525" i="5"/>
  <c r="S469" i="5"/>
  <c r="S562" i="5"/>
  <c r="S394" i="5"/>
  <c r="S463" i="5"/>
  <c r="S477" i="5"/>
  <c r="S571" i="5"/>
  <c r="S579" i="5"/>
  <c r="S473" i="5"/>
  <c r="S576" i="5"/>
  <c r="S608" i="5"/>
  <c r="S465" i="5"/>
  <c r="S493" i="5"/>
  <c r="S398" i="5"/>
  <c r="S402" i="5"/>
  <c r="S467" i="5"/>
  <c r="S375" i="5"/>
  <c r="S378" i="5"/>
  <c r="S370" i="5"/>
  <c r="S517" i="5"/>
  <c r="S423" i="5"/>
  <c r="S475" i="5"/>
  <c r="S529" i="5"/>
  <c r="S458" i="5"/>
  <c r="S386" i="5"/>
  <c r="S534" i="5"/>
  <c r="S587" i="5"/>
  <c r="S554" i="5"/>
  <c r="S509" i="5"/>
  <c r="S522" i="5"/>
  <c r="S565" i="5"/>
  <c r="S447" i="5"/>
  <c r="S481" i="5"/>
  <c r="S592" i="5"/>
  <c r="S438" i="5"/>
  <c r="S545" i="5"/>
  <c r="S391" i="5"/>
  <c r="S450" i="5"/>
  <c r="S442" i="5"/>
  <c r="S415" i="5"/>
  <c r="S435" i="5"/>
  <c r="S414" i="5"/>
  <c r="S462" i="5"/>
  <c r="S502" i="5"/>
  <c r="S538" i="5"/>
  <c r="S486" i="5"/>
  <c r="S407" i="5"/>
  <c r="S410" i="5"/>
  <c r="S567" i="5"/>
  <c r="S578" i="5"/>
  <c r="S454" i="5"/>
  <c r="S595" i="5"/>
  <c r="S490" i="5"/>
  <c r="S431" i="5"/>
  <c r="S513" i="5"/>
  <c r="S418" i="5"/>
  <c r="S557" i="5"/>
  <c r="S556" i="5"/>
  <c r="S549" i="5"/>
  <c r="S581" i="5"/>
  <c r="S580" i="5"/>
  <c r="S411" i="5"/>
  <c r="S446" i="5"/>
  <c r="S537" i="5"/>
  <c r="S485" i="5"/>
  <c r="S541" i="5"/>
  <c r="S573" i="5"/>
  <c r="S374" i="5"/>
  <c r="S426" i="5"/>
  <c r="S501" i="5"/>
  <c r="S460" i="5"/>
  <c r="S561" i="5"/>
  <c r="S422" i="5"/>
  <c r="S574" i="5"/>
  <c r="S505" i="5"/>
  <c r="S577" i="5"/>
  <c r="S466" i="5"/>
  <c r="S427" i="5"/>
  <c r="S518" i="5"/>
  <c r="S524" i="5"/>
  <c r="S406" i="5"/>
  <c r="S506" i="5"/>
  <c r="S390" i="5"/>
  <c r="S395" i="5"/>
  <c r="S609" i="5"/>
  <c r="S575" i="5"/>
  <c r="S497" i="5"/>
  <c r="S434" i="5"/>
  <c r="S474" i="5"/>
  <c r="S585" i="5"/>
  <c r="S583" i="5"/>
  <c r="S588" i="5"/>
  <c r="S489" i="5"/>
  <c r="S593" i="5"/>
  <c r="R16" i="5"/>
  <c r="R10" i="5"/>
  <c r="R13" i="5"/>
  <c r="R7" i="5"/>
  <c r="R17" i="5"/>
  <c r="R12" i="5"/>
  <c r="R9" i="5"/>
  <c r="R8" i="5"/>
  <c r="R15" i="5"/>
  <c r="R11" i="5"/>
  <c r="R14" i="5"/>
  <c r="X9" i="5"/>
  <c r="X14" i="5"/>
  <c r="X15" i="5"/>
  <c r="X8" i="5"/>
  <c r="X7" i="5"/>
  <c r="X16" i="5"/>
  <c r="T123" i="5"/>
  <c r="S31" i="5"/>
  <c r="T102" i="5"/>
  <c r="T107" i="5"/>
  <c r="T21" i="5"/>
  <c r="S117" i="5"/>
  <c r="S185" i="5"/>
  <c r="S347" i="5"/>
  <c r="T277" i="5"/>
  <c r="T200" i="5"/>
  <c r="S216" i="5"/>
  <c r="S359" i="5"/>
  <c r="T56" i="5"/>
  <c r="T82" i="5"/>
  <c r="T298" i="5"/>
  <c r="T269" i="5"/>
  <c r="S57" i="5"/>
  <c r="T274" i="5"/>
  <c r="S311" i="5"/>
  <c r="T303" i="5"/>
  <c r="S230" i="5"/>
  <c r="T260" i="5"/>
  <c r="S101" i="5"/>
  <c r="S103" i="5"/>
  <c r="T13" i="5"/>
  <c r="S267" i="5"/>
  <c r="S257" i="5"/>
  <c r="T179" i="5"/>
  <c r="T262" i="5"/>
  <c r="T335" i="5"/>
  <c r="T48" i="5"/>
  <c r="T78" i="5"/>
  <c r="S214" i="5"/>
  <c r="S158" i="5"/>
  <c r="S318" i="5"/>
  <c r="S246" i="5"/>
  <c r="S328" i="5"/>
  <c r="T119" i="5"/>
  <c r="T322" i="5"/>
  <c r="T182" i="5"/>
  <c r="S219" i="5"/>
  <c r="T209" i="5"/>
  <c r="S203" i="5"/>
  <c r="T225" i="5"/>
  <c r="T58" i="5"/>
  <c r="T241" i="5"/>
  <c r="S162" i="5"/>
  <c r="S118" i="5"/>
  <c r="S274" i="5"/>
  <c r="T340" i="5"/>
  <c r="S272" i="5"/>
  <c r="T33" i="5"/>
  <c r="T133" i="5"/>
  <c r="T250" i="5"/>
  <c r="T318" i="5"/>
  <c r="T171" i="5"/>
  <c r="T55" i="5"/>
  <c r="T304" i="5"/>
  <c r="T125" i="5"/>
  <c r="T279" i="5"/>
  <c r="T362" i="5"/>
  <c r="S165" i="5"/>
  <c r="T212" i="5"/>
  <c r="S152" i="5"/>
  <c r="S225" i="5"/>
  <c r="T74" i="5"/>
  <c r="T302" i="5"/>
  <c r="S58" i="5"/>
  <c r="T150" i="5"/>
  <c r="T126" i="5"/>
  <c r="T255" i="5"/>
  <c r="S187" i="5"/>
  <c r="T309" i="5"/>
  <c r="T222" i="5"/>
  <c r="S315" i="5"/>
  <c r="S368" i="5"/>
  <c r="S209" i="5"/>
  <c r="S66" i="5"/>
  <c r="S276" i="5"/>
  <c r="S201" i="5"/>
  <c r="S151" i="5"/>
  <c r="T25" i="5"/>
  <c r="T206" i="5"/>
  <c r="S19" i="5"/>
  <c r="T129" i="5"/>
  <c r="S271" i="5"/>
  <c r="T258" i="5"/>
  <c r="T220" i="5"/>
  <c r="T293" i="5"/>
  <c r="S142" i="5"/>
  <c r="S140" i="5"/>
  <c r="S35" i="5"/>
  <c r="T313" i="5"/>
  <c r="T66" i="5"/>
  <c r="T142" i="5"/>
  <c r="S67" i="5"/>
  <c r="S227" i="5"/>
  <c r="S88" i="5"/>
  <c r="S180" i="5"/>
  <c r="S280" i="5"/>
  <c r="T174" i="5"/>
  <c r="S99" i="5"/>
  <c r="S357" i="5"/>
  <c r="S139" i="5"/>
  <c r="S24" i="5"/>
  <c r="S108" i="5"/>
  <c r="T214" i="5"/>
  <c r="T159" i="5"/>
  <c r="T166" i="5"/>
  <c r="T95" i="5"/>
  <c r="T175" i="5"/>
  <c r="S313" i="5"/>
  <c r="S71" i="5"/>
  <c r="S310" i="5"/>
  <c r="S353" i="5"/>
  <c r="S340" i="5"/>
  <c r="T221" i="5"/>
  <c r="T94" i="5"/>
  <c r="S37" i="5"/>
  <c r="T290" i="5"/>
  <c r="T91" i="5"/>
  <c r="S91" i="5"/>
  <c r="T7" i="5"/>
  <c r="S251" i="5"/>
  <c r="T278" i="5"/>
  <c r="T51" i="5"/>
  <c r="S121" i="5"/>
  <c r="T103" i="5"/>
  <c r="S212" i="5"/>
  <c r="S289" i="5"/>
  <c r="S179" i="5"/>
  <c r="S25" i="5"/>
  <c r="S360" i="5"/>
  <c r="S217" i="5"/>
  <c r="S184" i="5"/>
  <c r="S226" i="5"/>
  <c r="S207" i="5"/>
  <c r="T143" i="5"/>
  <c r="S291" i="5"/>
  <c r="S182" i="5"/>
  <c r="S283" i="5"/>
  <c r="S176" i="5"/>
  <c r="S77" i="5"/>
  <c r="T331" i="5"/>
  <c r="S304" i="5"/>
  <c r="T319" i="5"/>
  <c r="S323" i="5"/>
  <c r="S92" i="5"/>
  <c r="S46" i="5"/>
  <c r="S144" i="5"/>
  <c r="S12" i="5"/>
  <c r="S183" i="5"/>
  <c r="T323" i="5"/>
  <c r="T205" i="5"/>
  <c r="S147" i="5"/>
  <c r="T149" i="5"/>
  <c r="T327" i="5"/>
  <c r="S137" i="5"/>
  <c r="S302" i="5"/>
  <c r="S27" i="5"/>
  <c r="T181" i="5"/>
  <c r="S56" i="5"/>
  <c r="T297" i="5"/>
  <c r="T341" i="5"/>
  <c r="S73" i="5"/>
  <c r="T211" i="5"/>
  <c r="T288" i="5"/>
  <c r="T257" i="5"/>
  <c r="T98" i="5"/>
  <c r="T317" i="5"/>
  <c r="T110" i="5"/>
  <c r="S195" i="5"/>
  <c r="S49" i="5"/>
  <c r="T52" i="5"/>
  <c r="T180" i="5"/>
  <c r="T115" i="5"/>
  <c r="S78" i="5"/>
  <c r="S365" i="5"/>
  <c r="S189" i="5"/>
  <c r="T10" i="5"/>
  <c r="T198" i="5"/>
  <c r="T19" i="5"/>
  <c r="T321" i="5"/>
  <c r="T122" i="5"/>
  <c r="T146" i="5"/>
  <c r="S134" i="5"/>
  <c r="S273" i="5"/>
  <c r="T168" i="5"/>
  <c r="S232" i="5"/>
  <c r="S61" i="5"/>
  <c r="T84" i="5"/>
  <c r="T135" i="5"/>
  <c r="T237" i="5"/>
  <c r="S149" i="5"/>
  <c r="S266" i="5"/>
  <c r="S43" i="5"/>
  <c r="T154" i="5"/>
  <c r="T285" i="5"/>
  <c r="S363" i="5"/>
  <c r="S40" i="5"/>
  <c r="S355" i="5"/>
  <c r="T17" i="5"/>
  <c r="T141" i="5"/>
  <c r="T283" i="5"/>
  <c r="T333" i="5"/>
  <c r="T312" i="5"/>
  <c r="S60" i="5"/>
  <c r="S261" i="5"/>
  <c r="T46" i="5"/>
  <c r="S173" i="5"/>
  <c r="T69" i="5"/>
  <c r="T307" i="5"/>
  <c r="T151" i="5"/>
  <c r="T194" i="5"/>
  <c r="S337" i="5"/>
  <c r="S228" i="5"/>
  <c r="S218" i="5"/>
  <c r="T242" i="5"/>
  <c r="S28" i="5"/>
  <c r="S245" i="5"/>
  <c r="S338" i="5"/>
  <c r="S293" i="5"/>
  <c r="T121" i="5"/>
  <c r="T286" i="5"/>
  <c r="T261" i="5"/>
  <c r="T316" i="5"/>
  <c r="S160" i="5"/>
  <c r="S62" i="5"/>
  <c r="S45" i="5"/>
  <c r="T39" i="5"/>
  <c r="T204" i="5"/>
  <c r="T254" i="5"/>
  <c r="S254" i="5"/>
  <c r="T161" i="5"/>
  <c r="T72" i="5"/>
  <c r="T185" i="5"/>
  <c r="T6" i="5"/>
  <c r="T124" i="5"/>
  <c r="S260" i="5"/>
  <c r="T137" i="5"/>
  <c r="S97" i="5"/>
  <c r="S42" i="5"/>
  <c r="T195" i="5"/>
  <c r="T75" i="5"/>
  <c r="T81" i="5"/>
  <c r="T202" i="5"/>
  <c r="S322" i="5"/>
  <c r="T355" i="5"/>
  <c r="S70" i="5"/>
  <c r="S192" i="5"/>
  <c r="S128" i="5"/>
  <c r="T337" i="5"/>
  <c r="S83" i="5"/>
  <c r="T361" i="5"/>
  <c r="T60" i="5"/>
  <c r="T20" i="5"/>
  <c r="S114" i="5"/>
  <c r="S326" i="5"/>
  <c r="T248" i="5"/>
  <c r="T354" i="5"/>
  <c r="T41" i="5"/>
  <c r="S95" i="5"/>
  <c r="T76" i="5"/>
  <c r="T275" i="5"/>
  <c r="T263" i="5"/>
  <c r="T276" i="5"/>
  <c r="T191" i="5"/>
  <c r="S264" i="5"/>
  <c r="T338" i="5"/>
  <c r="T210" i="5"/>
  <c r="S286" i="5"/>
  <c r="S122" i="5"/>
  <c r="S115" i="5"/>
  <c r="S295" i="5"/>
  <c r="T64" i="5"/>
  <c r="T246" i="5"/>
  <c r="T243" i="5"/>
  <c r="T120" i="5"/>
  <c r="S5" i="5"/>
  <c r="S72" i="5"/>
  <c r="T266" i="5"/>
  <c r="S132" i="5"/>
  <c r="T197" i="5"/>
  <c r="S125" i="5"/>
  <c r="T287" i="5"/>
  <c r="S29" i="5"/>
  <c r="S256" i="5"/>
  <c r="S320" i="5"/>
  <c r="S15" i="5"/>
  <c r="T347" i="5"/>
  <c r="T291" i="5"/>
  <c r="S345" i="5"/>
  <c r="T342" i="5"/>
  <c r="S17" i="5"/>
  <c r="S135" i="5"/>
  <c r="T353" i="5"/>
  <c r="S351" i="5"/>
  <c r="S30" i="5"/>
  <c r="T11" i="5"/>
  <c r="S52" i="5"/>
  <c r="S131" i="5"/>
  <c r="T157" i="5"/>
  <c r="T140" i="5"/>
  <c r="S130" i="5"/>
  <c r="S11" i="5"/>
  <c r="S123" i="5"/>
  <c r="T105" i="5"/>
  <c r="T100" i="5"/>
  <c r="S79" i="5"/>
  <c r="T8" i="5"/>
  <c r="T219" i="5"/>
  <c r="T130" i="5"/>
  <c r="T158" i="5"/>
  <c r="T88" i="5"/>
  <c r="S26" i="5"/>
  <c r="T310" i="5"/>
  <c r="T344" i="5"/>
  <c r="T358" i="5"/>
  <c r="S174" i="5"/>
  <c r="T215" i="5"/>
  <c r="S236" i="5"/>
  <c r="S346" i="5"/>
  <c r="T34" i="5"/>
  <c r="T38" i="5"/>
  <c r="S129" i="5"/>
  <c r="T326" i="5"/>
  <c r="T329" i="5"/>
  <c r="T324" i="5"/>
  <c r="S253" i="5"/>
  <c r="S90" i="5"/>
  <c r="S362" i="5"/>
  <c r="T295" i="5"/>
  <c r="S94" i="5"/>
  <c r="T332" i="5"/>
  <c r="S197" i="5"/>
  <c r="T97" i="5"/>
  <c r="S258" i="5"/>
  <c r="S306" i="5"/>
  <c r="S172" i="5"/>
  <c r="T96" i="5"/>
  <c r="S263" i="5"/>
  <c r="S34" i="5"/>
  <c r="S64" i="5"/>
  <c r="S136" i="5"/>
  <c r="S65" i="5"/>
  <c r="T106" i="5"/>
  <c r="T218" i="5"/>
  <c r="S198" i="5"/>
  <c r="T367" i="5"/>
  <c r="S208" i="5"/>
  <c r="S154" i="5"/>
  <c r="T306" i="5"/>
  <c r="T44" i="5"/>
  <c r="T273" i="5"/>
  <c r="T22" i="5"/>
  <c r="S32" i="5"/>
  <c r="S331" i="5"/>
  <c r="S288" i="5"/>
  <c r="T128" i="5"/>
  <c r="T183" i="5"/>
  <c r="S364" i="5"/>
  <c r="T5" i="5"/>
  <c r="T272" i="5"/>
  <c r="S220" i="5"/>
  <c r="T268" i="5"/>
  <c r="T199" i="5"/>
  <c r="T59" i="5"/>
  <c r="S290" i="5"/>
  <c r="S366" i="5"/>
  <c r="T305" i="5"/>
  <c r="S168" i="5"/>
  <c r="S352" i="5"/>
  <c r="T92" i="5"/>
  <c r="S284" i="5"/>
  <c r="T132" i="5"/>
  <c r="S85" i="5"/>
  <c r="S190" i="5"/>
  <c r="T178" i="5"/>
  <c r="T114" i="5"/>
  <c r="S146" i="5"/>
  <c r="S98" i="5"/>
  <c r="S107" i="5"/>
  <c r="T251" i="5"/>
  <c r="S262" i="5"/>
  <c r="S316" i="5"/>
  <c r="S53" i="5"/>
  <c r="T299" i="5"/>
  <c r="S111" i="5"/>
  <c r="S59" i="5"/>
  <c r="T247" i="5"/>
  <c r="S96" i="5"/>
  <c r="T104" i="5"/>
  <c r="T116" i="5"/>
  <c r="S268" i="5"/>
  <c r="S349" i="5"/>
  <c r="T349" i="5"/>
  <c r="S341" i="5"/>
  <c r="S299" i="5"/>
  <c r="T245" i="5"/>
  <c r="S233" i="5"/>
  <c r="S102" i="5"/>
  <c r="T16" i="5"/>
  <c r="T28" i="5"/>
  <c r="T301" i="5"/>
  <c r="T252" i="5"/>
  <c r="T43" i="5"/>
  <c r="S292" i="5"/>
  <c r="T368" i="5"/>
  <c r="T85" i="5"/>
  <c r="T153" i="5"/>
  <c r="S186" i="5"/>
  <c r="S120" i="5"/>
  <c r="T234" i="5"/>
  <c r="T40" i="5"/>
  <c r="T357" i="5"/>
  <c r="S250" i="5"/>
  <c r="S298" i="5"/>
  <c r="S330" i="5"/>
  <c r="S48" i="5"/>
  <c r="T177" i="5"/>
  <c r="T253" i="5"/>
  <c r="T109" i="5"/>
  <c r="T196" i="5"/>
  <c r="S242" i="5"/>
  <c r="S9" i="5"/>
  <c r="T315" i="5"/>
  <c r="T213" i="5"/>
  <c r="S23" i="5"/>
  <c r="S350" i="5"/>
  <c r="T136" i="5"/>
  <c r="T70" i="5"/>
  <c r="T325" i="5"/>
  <c r="S100" i="5"/>
  <c r="T77" i="5"/>
  <c r="T27" i="5"/>
  <c r="T217" i="5"/>
  <c r="T311" i="5"/>
  <c r="T172" i="5"/>
  <c r="S204" i="5"/>
  <c r="T193" i="5"/>
  <c r="T235" i="5"/>
  <c r="T68" i="5"/>
  <c r="S294" i="5"/>
  <c r="S277" i="5"/>
  <c r="T294" i="5"/>
  <c r="T29" i="5"/>
  <c r="S36" i="5"/>
  <c r="S243" i="5"/>
  <c r="S33" i="5"/>
  <c r="S181" i="5"/>
  <c r="T83" i="5"/>
  <c r="T62" i="5"/>
  <c r="T330" i="5"/>
  <c r="T365" i="5"/>
  <c r="S305" i="5"/>
  <c r="T267" i="5"/>
  <c r="T265" i="5"/>
  <c r="S7" i="5"/>
  <c r="S69" i="5"/>
  <c r="S234" i="5"/>
  <c r="S297" i="5"/>
  <c r="T118" i="5"/>
  <c r="T87" i="5"/>
  <c r="S116" i="5"/>
  <c r="T228" i="5"/>
  <c r="S269" i="5"/>
  <c r="S20" i="5"/>
  <c r="S191" i="5"/>
  <c r="T86" i="5"/>
  <c r="S51" i="5"/>
  <c r="S279" i="5"/>
  <c r="T229" i="5"/>
  <c r="T63" i="5"/>
  <c r="S124" i="5"/>
  <c r="S321" i="5"/>
  <c r="S194" i="5"/>
  <c r="T192" i="5"/>
  <c r="T264" i="5"/>
  <c r="T352" i="5"/>
  <c r="T223" i="5"/>
  <c r="S275" i="5"/>
  <c r="S343" i="5"/>
  <c r="S221" i="5"/>
  <c r="S119" i="5"/>
  <c r="T173" i="5"/>
  <c r="T271" i="5"/>
  <c r="T289" i="5"/>
  <c r="T165" i="5"/>
  <c r="S249" i="5"/>
  <c r="T351" i="5"/>
  <c r="S252" i="5"/>
  <c r="S81" i="5"/>
  <c r="T184" i="5"/>
  <c r="S150" i="5"/>
  <c r="S247" i="5"/>
  <c r="T113" i="5"/>
  <c r="T176" i="5"/>
  <c r="T280" i="5"/>
  <c r="S367" i="5"/>
  <c r="S361" i="5"/>
  <c r="T282" i="5"/>
  <c r="T360" i="5"/>
  <c r="T156" i="5"/>
  <c r="S196" i="5"/>
  <c r="S193" i="5"/>
  <c r="T65" i="5"/>
  <c r="S84" i="5"/>
  <c r="S13" i="5"/>
  <c r="T54" i="5"/>
  <c r="T320" i="5"/>
  <c r="T23" i="5"/>
  <c r="S93" i="5"/>
  <c r="T216" i="5"/>
  <c r="S157" i="5"/>
  <c r="S47" i="5"/>
  <c r="T71" i="5"/>
  <c r="S76" i="5"/>
  <c r="T308" i="5"/>
  <c r="T230" i="5"/>
  <c r="S153" i="5"/>
  <c r="S148" i="5"/>
  <c r="S127" i="5"/>
  <c r="S222" i="5"/>
  <c r="S156" i="5"/>
  <c r="S314" i="5"/>
  <c r="S155" i="5"/>
  <c r="T101" i="5"/>
  <c r="S244" i="5"/>
  <c r="S80" i="5"/>
  <c r="T162" i="5"/>
  <c r="S308" i="5"/>
  <c r="T164" i="5"/>
  <c r="S44" i="5"/>
  <c r="S163" i="5"/>
  <c r="S296" i="5"/>
  <c r="T45" i="5"/>
  <c r="T134" i="5"/>
  <c r="S89" i="5"/>
  <c r="S39" i="5"/>
  <c r="T42" i="5"/>
  <c r="S82" i="5"/>
  <c r="S166" i="5"/>
  <c r="S223" i="5"/>
  <c r="T163" i="5"/>
  <c r="S354" i="5"/>
  <c r="T284" i="5"/>
  <c r="S38" i="5"/>
  <c r="S348" i="5"/>
  <c r="T90" i="5"/>
  <c r="S319" i="5"/>
  <c r="S255" i="5"/>
  <c r="S188" i="5"/>
  <c r="S18" i="5"/>
  <c r="T169" i="5"/>
  <c r="T343" i="5"/>
  <c r="S332" i="5"/>
  <c r="T359" i="5"/>
  <c r="S164" i="5"/>
  <c r="T231" i="5"/>
  <c r="T233" i="5"/>
  <c r="S278" i="5"/>
  <c r="S285" i="5"/>
  <c r="S300" i="5"/>
  <c r="S344" i="5"/>
  <c r="T67" i="5"/>
  <c r="S22" i="5"/>
  <c r="T47" i="5"/>
  <c r="T339" i="5"/>
  <c r="S324" i="5"/>
  <c r="T155" i="5"/>
  <c r="T117" i="5"/>
  <c r="S309" i="5"/>
  <c r="T32" i="5"/>
  <c r="S229" i="5"/>
  <c r="S68" i="5"/>
  <c r="S206" i="5"/>
  <c r="T188" i="5"/>
  <c r="T49" i="5"/>
  <c r="S202" i="5"/>
  <c r="T9" i="5"/>
  <c r="S199" i="5"/>
  <c r="S112" i="5"/>
  <c r="T14" i="5"/>
  <c r="T190" i="5"/>
  <c r="G64" i="6" a="1"/>
  <c r="S177" i="5"/>
  <c r="S106" i="5"/>
  <c r="T328" i="5"/>
  <c r="T138" i="5"/>
  <c r="S63" i="5"/>
  <c r="S178" i="5"/>
  <c r="S238" i="5"/>
  <c r="S282" i="5"/>
  <c r="S248" i="5"/>
  <c r="T73" i="5"/>
  <c r="T281" i="5"/>
  <c r="S240" i="5"/>
  <c r="S167" i="5"/>
  <c r="S16" i="5"/>
  <c r="S329" i="5"/>
  <c r="S259" i="5"/>
  <c r="S74" i="5"/>
  <c r="T334" i="5"/>
  <c r="S224" i="5"/>
  <c r="S8" i="5"/>
  <c r="T167" i="5"/>
  <c r="T108" i="5"/>
  <c r="S55" i="5"/>
  <c r="S270" i="5"/>
  <c r="S143" i="5"/>
  <c r="T30" i="5"/>
  <c r="S336" i="5"/>
  <c r="T259" i="5"/>
  <c r="T256" i="5"/>
  <c r="T224" i="5"/>
  <c r="S317" i="5"/>
  <c r="T186" i="5"/>
  <c r="T79" i="5"/>
  <c r="S287" i="5"/>
  <c r="T350" i="5"/>
  <c r="S342" i="5"/>
  <c r="S334" i="5"/>
  <c r="T244" i="5"/>
  <c r="T348" i="5"/>
  <c r="T152" i="5"/>
  <c r="S339" i="5"/>
  <c r="T364" i="5"/>
  <c r="S109" i="5"/>
  <c r="S215" i="5"/>
  <c r="S213" i="5"/>
  <c r="S113" i="5"/>
  <c r="S235" i="5"/>
  <c r="S110" i="5"/>
  <c r="S325" i="5"/>
  <c r="S265" i="5"/>
  <c r="S145" i="5"/>
  <c r="T345" i="5"/>
  <c r="S133" i="5"/>
  <c r="S21" i="5"/>
  <c r="T50" i="5"/>
  <c r="T36" i="5"/>
  <c r="T203" i="5"/>
  <c r="T356" i="5"/>
  <c r="T226" i="5"/>
  <c r="T131" i="5"/>
  <c r="T249" i="5"/>
  <c r="S141" i="5"/>
  <c r="T270" i="5"/>
  <c r="T61" i="5"/>
  <c r="T139" i="5"/>
  <c r="T99" i="5"/>
  <c r="S205" i="5"/>
  <c r="T236" i="5"/>
  <c r="S104" i="5"/>
  <c r="T336" i="5"/>
  <c r="T145" i="5"/>
  <c r="T160" i="5"/>
  <c r="T144" i="5"/>
  <c r="T35" i="5"/>
  <c r="S161" i="5"/>
  <c r="T24" i="5"/>
  <c r="S200" i="5"/>
  <c r="T89" i="5"/>
  <c r="S241" i="5"/>
  <c r="S211" i="5"/>
  <c r="T37" i="5"/>
  <c r="T296" i="5"/>
  <c r="S87" i="5"/>
  <c r="S333" i="5"/>
  <c r="T201" i="5"/>
  <c r="S335" i="5"/>
  <c r="S281" i="5"/>
  <c r="S237" i="5"/>
  <c r="S356" i="5"/>
  <c r="S307" i="5"/>
  <c r="T15" i="5"/>
  <c r="S210" i="5"/>
  <c r="T148" i="5"/>
  <c r="S312" i="5"/>
  <c r="S105" i="5"/>
  <c r="S327" i="5"/>
  <c r="S86" i="5"/>
  <c r="T227" i="5"/>
  <c r="T240" i="5"/>
  <c r="S239" i="5"/>
  <c r="S14" i="5"/>
  <c r="T127" i="5"/>
  <c r="T147" i="5"/>
  <c r="S126" i="5"/>
  <c r="S301" i="5"/>
  <c r="T31" i="5"/>
  <c r="S159" i="5"/>
  <c r="S50" i="5"/>
  <c r="S358" i="5"/>
  <c r="S41" i="5"/>
  <c r="T292" i="5"/>
  <c r="S10" i="5"/>
  <c r="S175" i="5"/>
  <c r="S170" i="5"/>
  <c r="T12" i="5"/>
  <c r="S54" i="5"/>
  <c r="T238" i="5"/>
  <c r="T366" i="5"/>
  <c r="S303" i="5"/>
  <c r="T80" i="5"/>
  <c r="T314" i="5"/>
  <c r="T207" i="5"/>
  <c r="T363" i="5"/>
  <c r="T57" i="5"/>
  <c r="T239" i="5"/>
  <c r="T208" i="5"/>
  <c r="T53" i="5"/>
  <c r="T189" i="5"/>
  <c r="T170" i="5"/>
  <c r="T111" i="5"/>
  <c r="T346" i="5"/>
  <c r="S6" i="5"/>
  <c r="T232" i="5"/>
  <c r="T300" i="5"/>
  <c r="S231" i="5"/>
  <c r="S171" i="5"/>
  <c r="S138" i="5"/>
  <c r="S75" i="5"/>
  <c r="S169" i="5"/>
  <c r="T187" i="5"/>
  <c r="G66" i="6" l="1"/>
  <c r="G67" i="6"/>
  <c r="G68" i="6"/>
  <c r="B35" i="4"/>
  <c r="A22" i="6" s="1"/>
  <c r="B37" i="4"/>
  <c r="A23" i="6" s="1"/>
  <c r="B43" i="4"/>
  <c r="A28" i="6" s="1"/>
  <c r="B89" i="4"/>
  <c r="A63" i="6" s="1"/>
  <c r="B49" i="4"/>
  <c r="A33" i="6" s="1"/>
  <c r="B61" i="4"/>
  <c r="A43" i="6" s="1"/>
  <c r="B55" i="4"/>
  <c r="A38" i="6" s="1"/>
  <c r="B77" i="4"/>
  <c r="A55" i="6" s="1"/>
  <c r="B39" i="6"/>
  <c r="G39" i="6" s="1"/>
  <c r="B29" i="6"/>
  <c r="G29" i="6" s="1"/>
  <c r="B24" i="6"/>
  <c r="G24" i="6" s="1"/>
  <c r="H24" i="6" s="1"/>
  <c r="D24" i="6" s="1"/>
  <c r="F24" i="6"/>
  <c r="G19" i="6"/>
  <c r="H19" i="6" s="1"/>
  <c r="D19" i="6" s="1"/>
  <c r="B44" i="6"/>
  <c r="G44" i="6" s="1"/>
  <c r="B49" i="6"/>
  <c r="G49" i="6" s="1"/>
  <c r="G14" i="6"/>
  <c r="H14" i="6" s="1"/>
  <c r="C14" i="6" s="1"/>
  <c r="B34" i="6"/>
  <c r="G34" i="6" s="1"/>
  <c r="K67" i="6"/>
  <c r="D16" i="6"/>
  <c r="F51" i="6"/>
  <c r="H51" i="6" s="1"/>
  <c r="D51" i="6" s="1"/>
  <c r="F67" i="6"/>
  <c r="H67" i="6" s="1"/>
  <c r="D67" i="6" s="1"/>
  <c r="F31" i="6"/>
  <c r="H31" i="6" s="1"/>
  <c r="D31" i="6" s="1"/>
  <c r="F46" i="6"/>
  <c r="H46" i="6" s="1"/>
  <c r="D46" i="6" s="1"/>
  <c r="F41" i="6"/>
  <c r="F36" i="6"/>
  <c r="H36" i="6" s="1"/>
  <c r="D36" i="6" s="1"/>
  <c r="F30" i="6"/>
  <c r="F45" i="6"/>
  <c r="F35" i="6"/>
  <c r="F40" i="6"/>
  <c r="H40" i="6" s="1"/>
  <c r="F66" i="6"/>
  <c r="H66" i="6" s="1"/>
  <c r="D66" i="6" s="1"/>
  <c r="F50" i="6"/>
  <c r="C19" i="6"/>
  <c r="H41" i="6"/>
  <c r="D41" i="6" s="1"/>
  <c r="D17" i="6"/>
  <c r="K68" i="6"/>
  <c r="B34" i="4"/>
  <c r="A21" i="6" s="1"/>
  <c r="A16" i="6"/>
  <c r="D15" i="6"/>
  <c r="K66" i="6"/>
  <c r="C20" i="6"/>
  <c r="F29" i="6"/>
  <c r="F44" i="6"/>
  <c r="H44" i="6" s="1"/>
  <c r="D44" i="6" s="1"/>
  <c r="B25" i="6"/>
  <c r="G25" i="6" s="1"/>
  <c r="H25" i="6" s="1"/>
  <c r="B37" i="6"/>
  <c r="G37" i="6" s="1"/>
  <c r="B32" i="6"/>
  <c r="G32" i="6" s="1"/>
  <c r="C66" i="6"/>
  <c r="B67" i="4"/>
  <c r="A48" i="6" s="1"/>
  <c r="F27" i="6"/>
  <c r="C17" i="6"/>
  <c r="F65" i="6"/>
  <c r="B50" i="6"/>
  <c r="G50" i="6" s="1"/>
  <c r="B52" i="6"/>
  <c r="G52" i="6" s="1"/>
  <c r="C36" i="6"/>
  <c r="B81" i="4"/>
  <c r="A58" i="6" s="1"/>
  <c r="B75" i="4"/>
  <c r="A54" i="6" s="1"/>
  <c r="C16" i="6"/>
  <c r="B87" i="4"/>
  <c r="A62" i="6" s="1"/>
  <c r="B31" i="4"/>
  <c r="A18" i="6" s="1"/>
  <c r="B45" i="6"/>
  <c r="G45" i="6" s="1"/>
  <c r="B26" i="6"/>
  <c r="G26" i="6" s="1"/>
  <c r="H26" i="6" s="1"/>
  <c r="B85" i="4"/>
  <c r="A60" i="6" s="1"/>
  <c r="C22" i="6"/>
  <c r="C15" i="6"/>
  <c r="B79" i="4"/>
  <c r="A57" i="6" s="1"/>
  <c r="B83" i="4"/>
  <c r="A59" i="6" s="1"/>
  <c r="B27" i="6"/>
  <c r="G27" i="6" s="1"/>
  <c r="B47" i="6"/>
  <c r="G47" i="6" s="1"/>
  <c r="B35" i="6"/>
  <c r="G35" i="6" s="1"/>
  <c r="B30" i="6"/>
  <c r="G30" i="6" s="1"/>
  <c r="C51" i="6"/>
  <c r="C21" i="6"/>
  <c r="C41" i="6"/>
  <c r="C12" i="6"/>
  <c r="C11" i="6"/>
  <c r="C10" i="6"/>
  <c r="C9" i="6"/>
  <c r="C8" i="6"/>
  <c r="C7" i="6"/>
  <c r="D55" i="4"/>
  <c r="D67" i="4"/>
  <c r="B33" i="4"/>
  <c r="A20" i="6" s="1"/>
  <c r="D74" i="4"/>
  <c r="H6" i="6"/>
  <c r="C5" i="6"/>
  <c r="B32" i="4"/>
  <c r="A19" i="6" s="1"/>
  <c r="D31" i="4"/>
  <c r="D49" i="4"/>
  <c r="D43" i="4"/>
  <c r="D61" i="4"/>
  <c r="A24" i="6"/>
  <c r="G74" i="4"/>
  <c r="C6" i="6"/>
  <c r="D6" i="6"/>
  <c r="B53" i="4"/>
  <c r="A37" i="6" s="1"/>
  <c r="B62" i="4"/>
  <c r="A44" i="6" s="1"/>
  <c r="G31" i="4"/>
  <c r="B68" i="4"/>
  <c r="A49" i="6" s="1"/>
  <c r="G61" i="4"/>
  <c r="G67" i="4"/>
  <c r="G55" i="4"/>
  <c r="B71" i="4"/>
  <c r="A52" i="6" s="1"/>
  <c r="G37" i="4"/>
  <c r="B56" i="4"/>
  <c r="A39" i="6" s="1"/>
  <c r="G43" i="4"/>
  <c r="D4" i="6"/>
  <c r="C4" i="6"/>
  <c r="G64" i="6"/>
  <c r="B64" i="4"/>
  <c r="A46" i="6" s="1"/>
  <c r="B58" i="4"/>
  <c r="A41" i="6" s="1"/>
  <c r="A26" i="6"/>
  <c r="B70" i="4"/>
  <c r="A51" i="6" s="1"/>
  <c r="B63" i="4"/>
  <c r="A45" i="6" s="1"/>
  <c r="B69" i="4"/>
  <c r="A50" i="6" s="1"/>
  <c r="A25" i="6"/>
  <c r="B57" i="4"/>
  <c r="A40" i="6" s="1"/>
  <c r="G69" i="6" a="1"/>
  <c r="G69" i="6" s="1"/>
  <c r="H69" i="6" s="1"/>
  <c r="B59" i="4"/>
  <c r="A42" i="6" s="1"/>
  <c r="A27" i="6"/>
  <c r="C67" i="6" l="1"/>
  <c r="C46" i="6"/>
  <c r="H29" i="6"/>
  <c r="D40" i="6"/>
  <c r="C40" i="6"/>
  <c r="H35" i="6"/>
  <c r="D35" i="6" s="1"/>
  <c r="D14" i="6"/>
  <c r="K65" i="6"/>
  <c r="F34" i="6"/>
  <c r="H34" i="6" s="1"/>
  <c r="F39" i="6"/>
  <c r="H39" i="6" s="1"/>
  <c r="F49" i="6"/>
  <c r="H49" i="6" s="1"/>
  <c r="D25" i="6"/>
  <c r="C25" i="6"/>
  <c r="D26" i="6"/>
  <c r="C26" i="6"/>
  <c r="C35" i="6"/>
  <c r="C44" i="6"/>
  <c r="H45" i="6"/>
  <c r="C31" i="6"/>
  <c r="H30" i="6"/>
  <c r="H65" i="6"/>
  <c r="C2" i="6"/>
  <c r="B2" i="6"/>
  <c r="F52" i="6"/>
  <c r="H52" i="6" s="1"/>
  <c r="F42" i="6"/>
  <c r="H42" i="6" s="1"/>
  <c r="F47" i="6"/>
  <c r="H47" i="6" s="1"/>
  <c r="H27" i="6"/>
  <c r="F37" i="6"/>
  <c r="H37" i="6" s="1"/>
  <c r="F68" i="6"/>
  <c r="H68" i="6" s="1"/>
  <c r="F32" i="6"/>
  <c r="H32" i="6" s="1"/>
  <c r="H50" i="6"/>
  <c r="C24" i="6"/>
  <c r="F54" i="6"/>
  <c r="H64" i="6"/>
  <c r="B64" i="6"/>
  <c r="D29" i="6" l="1"/>
  <c r="C29" i="6"/>
  <c r="D49" i="6"/>
  <c r="C49" i="6"/>
  <c r="D39" i="6"/>
  <c r="C39" i="6"/>
  <c r="D34" i="6"/>
  <c r="C34" i="6"/>
  <c r="D27" i="6"/>
  <c r="C27" i="6"/>
  <c r="D47" i="6"/>
  <c r="C47" i="6"/>
  <c r="D45" i="6"/>
  <c r="C45" i="6"/>
  <c r="H54" i="6"/>
  <c r="F62" i="6"/>
  <c r="H62" i="6" s="1"/>
  <c r="F59" i="6"/>
  <c r="H59" i="6" s="1"/>
  <c r="F58" i="6"/>
  <c r="H58" i="6" s="1"/>
  <c r="F55" i="6"/>
  <c r="F60" i="6"/>
  <c r="H60" i="6" s="1"/>
  <c r="F63" i="6"/>
  <c r="H63" i="6" s="1"/>
  <c r="F57" i="6"/>
  <c r="H57" i="6" s="1"/>
  <c r="D42" i="6"/>
  <c r="C42" i="6"/>
  <c r="D52" i="6"/>
  <c r="C52" i="6"/>
  <c r="D50" i="6"/>
  <c r="C50" i="6"/>
  <c r="D32" i="6"/>
  <c r="C32" i="6"/>
  <c r="D68" i="6"/>
  <c r="C68" i="6"/>
  <c r="D65" i="6"/>
  <c r="C65" i="6"/>
  <c r="D37" i="6"/>
  <c r="C37" i="6"/>
  <c r="D30" i="6"/>
  <c r="C30" i="6"/>
  <c r="C64" i="6"/>
  <c r="D64" i="6"/>
  <c r="D62" i="6" l="1"/>
  <c r="C62" i="6"/>
  <c r="D54" i="6"/>
  <c r="C54" i="6"/>
  <c r="D57" i="6"/>
  <c r="C57" i="6"/>
  <c r="D63" i="6"/>
  <c r="C63" i="6"/>
  <c r="D60" i="6"/>
  <c r="C60" i="6"/>
  <c r="F56" i="6"/>
  <c r="H56" i="6" s="1"/>
  <c r="H55" i="6"/>
  <c r="D58" i="6"/>
  <c r="C58" i="6"/>
  <c r="D59" i="6"/>
  <c r="C59"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<sst xmlns="http://schemas.openxmlformats.org/spreadsheetml/2006/main" count="26019" uniqueCount="15793">
  <si>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</si>
  <si>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</si>
  <si>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</si>
  <si>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</si>
  <si>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</si>
  <si>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</si>
  <si>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</si>
  <si>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</si>
  <si>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</si>
  <si>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</si>
  <si>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</si>
  <si>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</si>
  <si>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</si>
  <si>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</si>
  <si>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</si>
  <si>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</si>
  <si>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</si>
  <si>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</si>
  <si>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</si>
  <si>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</si>
  <si>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</si>
  <si>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</si>
  <si>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</si>
  <si>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</si>
  <si>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</si>
  <si>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</si>
  <si>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</si>
  <si>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</si>
  <si>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</si>
  <si>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</si>
  <si>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</si>
  <si>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</si>
  <si>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</si>
  <si>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</si>
  <si>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</si>
  <si>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</si>
  <si>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</si>
  <si>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</si>
  <si>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</si>
  <si>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</si>
  <si>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</si>
  <si>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</si>
  <si>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</si>
  <si>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</si>
  <si>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</si>
  <si>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</si>
  <si>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</si>
  <si>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</si>
  <si>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</si>
  <si>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</si>
  <si>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</si>
  <si>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</si>
  <si>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</si>
  <si>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</si>
  <si>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</si>
  <si>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</si>
  <si>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</si>
  <si>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</si>
  <si>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</si>
  <si>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</si>
  <si>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</si>
  <si>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</si>
  <si>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</si>
  <si>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</si>
  <si>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</si>
  <si>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</si>
  <si>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</si>
  <si>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</si>
  <si>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</si>
  <si>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</si>
  <si>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</si>
  <si>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</si>
  <si>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</si>
  <si>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</si>
  <si>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</si>
  <si>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</si>
  <si>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</si>
  <si>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</si>
  <si>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</si>
  <si>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</si>
  <si>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</si>
  <si>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</si>
  <si>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</si>
  <si>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</si>
  <si>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</si>
  <si>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</si>
  <si>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</si>
  <si>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</si>
  <si>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</si>
  <si>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</si>
  <si>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</si>
  <si>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</si>
  <si>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</si>
  <si>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</si>
  <si>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</si>
  <si>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</si>
  <si>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</si>
  <si>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</si>
  <si>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</si>
  <si>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</si>
  <si>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</si>
  <si>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</si>
  <si>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</si>
  <si>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</si>
  <si>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</si>
  <si>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</si>
  <si>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</si>
  <si>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</si>
  <si>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</si>
  <si>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</si>
  <si>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</si>
  <si>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</si>
  <si>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</si>
  <si>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</si>
  <si>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</si>
  <si>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</si>
  <si>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</si>
  <si>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</si>
  <si>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</si>
  <si>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</si>
  <si>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</si>
  <si>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</si>
  <si>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</si>
  <si>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</si>
  <si>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</si>
  <si>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</si>
  <si>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</si>
  <si>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</si>
  <si>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</si>
  <si>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</si>
  <si>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</si>
  <si>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</si>
  <si>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</si>
  <si>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</si>
  <si>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</si>
  <si>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</si>
  <si>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</si>
  <si>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</si>
  <si>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</si>
  <si>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</si>
  <si>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</si>
  <si>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</si>
  <si>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</si>
  <si>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</si>
  <si>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</si>
  <si>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</si>
  <si>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</si>
  <si>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</si>
  <si>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</si>
  <si>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</si>
  <si>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</si>
  <si>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</si>
  <si>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</si>
  <si>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</si>
  <si>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</si>
  <si>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</si>
  <si>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</si>
  <si>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</si>
  <si>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</si>
  <si>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</si>
  <si>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</si>
  <si>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</si>
  <si>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</si>
  <si>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</si>
  <si>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</si>
  <si>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</si>
  <si>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</si>
  <si>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</si>
  <si>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</si>
  <si>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</si>
  <si>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</si>
  <si>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</si>
  <si>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</si>
  <si>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</si>
  <si>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</si>
  <si>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</si>
  <si>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</si>
  <si>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</si>
  <si>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</si>
  <si>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</si>
  <si>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</si>
  <si>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</si>
  <si>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</si>
  <si>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</si>
  <si>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</si>
  <si>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</si>
  <si>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</si>
  <si>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</si>
  <si>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</si>
  <si>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</si>
  <si>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</si>
  <si>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</si>
  <si>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</si>
  <si>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</si>
  <si>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</si>
  <si>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</si>
  <si>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</si>
  <si>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</si>
  <si>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</si>
  <si>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</si>
  <si>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</si>
  <si>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</si>
  <si>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</si>
  <si>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</si>
  <si>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</si>
  <si>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</si>
  <si>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</si>
  <si>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</si>
  <si>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</si>
  <si>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</si>
  <si>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</si>
  <si>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</si>
  <si>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</si>
  <si>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</si>
  <si>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</si>
  <si>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</si>
  <si>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</si>
  <si>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</si>
  <si>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</si>
  <si>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</si>
  <si>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</si>
  <si>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</si>
  <si>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</si>
  <si>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</si>
  <si>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</si>
  <si>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</si>
  <si>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</si>
  <si>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</si>
  <si>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</si>
  <si>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</si>
  <si>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</si>
  <si>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</si>
  <si>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</si>
  <si>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</si>
  <si>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</si>
  <si>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</si>
  <si>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</si>
  <si>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</si>
  <si>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</si>
  <si>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</si>
  <si>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</si>
  <si>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</si>
  <si>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</si>
  <si>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</si>
  <si>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</si>
  <si>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</si>
  <si>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</si>
  <si>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</si>
  <si>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</si>
  <si>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</si>
  <si>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</si>
  <si>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</si>
  <si>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</si>
  <si>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</si>
  <si>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</si>
  <si>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</si>
  <si>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</si>
  <si>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</si>
  <si>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</si>
  <si>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</si>
  <si>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</si>
  <si>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</si>
  <si>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</si>
  <si>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</si>
  <si>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</si>
  <si>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</si>
  <si>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</si>
  <si>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</si>
  <si>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</si>
  <si>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</si>
  <si>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</si>
  <si>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</si>
  <si>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</si>
  <si>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</si>
  <si>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</si>
  <si>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</si>
  <si>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</si>
  <si>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</si>
  <si>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</si>
  <si>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</si>
  <si>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</si>
  <si>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</si>
  <si>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</si>
  <si>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</si>
  <si>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</si>
  <si>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</si>
  <si>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</si>
  <si>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</si>
  <si>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</si>
  <si>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</si>
  <si>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</si>
  <si>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</si>
  <si>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</si>
  <si>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</si>
  <si>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</si>
  <si>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</si>
  <si>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</si>
  <si>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</si>
  <si>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</si>
  <si>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</si>
  <si>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</si>
  <si>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</si>
  <si>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</si>
  <si>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</si>
  <si>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</si>
  <si>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</si>
  <si>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</si>
  <si>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</si>
  <si>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</si>
  <si>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</si>
  <si>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</si>
  <si>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</si>
  <si>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</si>
  <si>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</si>
  <si>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</si>
  <si>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</si>
  <si>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</si>
  <si>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</si>
  <si>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</si>
  <si>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</si>
  <si>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</si>
  <si>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</si>
  <si>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</si>
  <si>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</si>
  <si>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</si>
  <si>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</si>
  <si>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</si>
  <si>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</si>
  <si>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</si>
  <si>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</si>
  <si>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</si>
  <si>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</si>
  <si>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</si>
  <si>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</si>
  <si>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</si>
  <si>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</si>
  <si>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</si>
  <si>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</si>
  <si>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</si>
  <si>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</si>
  <si>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</si>
  <si>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</si>
  <si>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</si>
  <si>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</si>
  <si>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</si>
  <si>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</si>
  <si>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</si>
  <si>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</si>
  <si>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</si>
  <si>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</si>
  <si>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</si>
  <si>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</si>
  <si>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</si>
  <si>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</si>
  <si>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</si>
  <si>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</si>
  <si>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</si>
  <si>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</si>
  <si>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</si>
  <si>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</si>
  <si>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</si>
  <si>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</si>
  <si>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</si>
  <si>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</si>
  <si>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</si>
  <si>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</si>
  <si>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</si>
  <si>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</si>
  <si>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</si>
  <si>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</si>
  <si>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</si>
  <si>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</si>
  <si>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</si>
  <si>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</si>
  <si>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</si>
  <si>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</si>
  <si>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</si>
  <si>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</si>
  <si>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</si>
  <si>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</si>
  <si>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</si>
  <si>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</si>
  <si>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</si>
  <si>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</si>
  <si>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</si>
  <si>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</si>
  <si>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</si>
  <si>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</si>
  <si>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</si>
  <si>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</si>
  <si>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</si>
  <si>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</si>
  <si>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</si>
  <si>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</si>
  <si>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</si>
  <si>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</si>
  <si>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</si>
  <si>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</si>
  <si>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</si>
  <si>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</si>
  <si>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</si>
  <si>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</si>
  <si>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</si>
  <si>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</si>
  <si>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</si>
  <si>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</si>
  <si>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</si>
  <si>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</si>
  <si>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</si>
  <si>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</si>
  <si>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</si>
  <si>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</si>
  <si>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</si>
  <si>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</si>
  <si>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</si>
  <si>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</si>
  <si>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</si>
  <si>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</si>
  <si>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</si>
  <si>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</si>
  <si>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</si>
  <si>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</si>
  <si>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</si>
  <si>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</si>
  <si>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</si>
  <si>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</si>
  <si>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</si>
  <si>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</si>
  <si>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</si>
  <si>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</si>
  <si>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</si>
  <si>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</si>
  <si>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</si>
  <si>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</si>
  <si>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</si>
  <si>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</si>
  <si>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</si>
  <si>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</si>
  <si>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</si>
  <si>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</si>
  <si>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</si>
  <si>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</si>
  <si>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</si>
  <si>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</si>
  <si>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</si>
  <si>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</si>
  <si>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</si>
  <si>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</si>
  <si>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</si>
  <si>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</si>
  <si>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</si>
  <si>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</si>
  <si>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</si>
  <si>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</si>
  <si>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</si>
  <si>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</si>
  <si>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</si>
  <si>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</si>
  <si>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</si>
  <si>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</si>
  <si>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</si>
  <si>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</si>
  <si>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</si>
  <si>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</si>
  <si>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</si>
  <si>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</si>
  <si>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</si>
  <si>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</si>
  <si>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</si>
  <si>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</si>
  <si>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</si>
  <si>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</si>
  <si>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</si>
  <si>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</si>
  <si>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</si>
  <si>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</si>
  <si>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</si>
  <si>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</si>
  <si>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</si>
  <si>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</si>
  <si>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</si>
  <si>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</si>
  <si>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</si>
  <si>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</si>
  <si>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</si>
  <si>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</si>
  <si>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</si>
  <si>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</si>
  <si>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</si>
  <si>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</si>
  <si>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</si>
  <si>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</si>
  <si>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</si>
  <si>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</si>
  <si>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</si>
  <si>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</si>
  <si>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</si>
  <si>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</si>
  <si>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</si>
  <si>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</si>
  <si>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</si>
  <si>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</si>
  <si>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</si>
  <si>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</si>
  <si>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</si>
  <si>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</si>
  <si>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</si>
  <si>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</si>
  <si>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</si>
  <si>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</si>
  <si>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</si>
  <si>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</si>
  <si>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</si>
  <si>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</si>
  <si>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</si>
  <si>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</si>
  <si>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</si>
  <si>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</si>
  <si>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</si>
  <si>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</si>
  <si>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</si>
  <si>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</si>
  <si>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</si>
  <si>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</si>
  <si>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</si>
  <si>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</si>
  <si>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</si>
  <si>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</si>
  <si>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</si>
  <si>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</si>
  <si>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</si>
  <si>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</si>
  <si>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</si>
  <si>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</si>
  <si>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</si>
  <si>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</si>
  <si>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</si>
  <si>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</si>
  <si>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</si>
  <si>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</si>
  <si>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</si>
  <si>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</si>
  <si>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</si>
  <si>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</si>
  <si>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</si>
  <si>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</si>
  <si>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</si>
  <si>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</si>
  <si>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</si>
  <si>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</si>
  <si>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</si>
  <si>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</si>
  <si>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</si>
  <si>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</si>
  <si>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</si>
  <si>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</si>
  <si>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</si>
  <si>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</si>
  <si>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</si>
  <si>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</si>
  <si>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</si>
  <si>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</si>
  <si>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</si>
  <si>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</si>
  <si>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</si>
  <si>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</si>
  <si>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</si>
  <si>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</si>
  <si>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</si>
  <si>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</si>
  <si>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</si>
  <si>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</si>
  <si>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</si>
  <si>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</si>
  <si>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</si>
  <si>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</si>
  <si>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</si>
  <si>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</si>
  <si>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</si>
  <si>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</si>
  <si>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</si>
  <si>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</si>
  <si>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</si>
  <si>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</si>
  <si>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</si>
  <si>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</si>
  <si>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</si>
  <si>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</si>
  <si>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</si>
  <si>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</si>
  <si>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</si>
  <si>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</si>
  <si>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</si>
  <si>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</si>
  <si>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</si>
  <si>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</si>
  <si>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</si>
  <si>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</si>
  <si>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</si>
  <si>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</si>
  <si>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</si>
  <si>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</si>
  <si>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</si>
  <si>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</si>
  <si>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</si>
  <si>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</si>
  <si>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</si>
  <si>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</si>
  <si>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</si>
  <si>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</si>
  <si>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</si>
  <si>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</si>
  <si>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</si>
  <si>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</si>
  <si>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</si>
  <si>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</si>
  <si>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</si>
  <si>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</si>
  <si>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</si>
  <si>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</si>
  <si>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</si>
  <si>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</si>
  <si>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</si>
  <si>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</si>
  <si>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</si>
  <si>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</si>
  <si>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</si>
  <si>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</si>
  <si>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</si>
  <si>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</si>
  <si>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</si>
  <si>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</si>
  <si>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</si>
  <si>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</si>
  <si>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</si>
  <si>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</si>
  <si>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</si>
  <si>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</si>
  <si>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</si>
  <si>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</si>
  <si>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</si>
  <si>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</si>
  <si>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</si>
  <si>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</si>
  <si>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</si>
  <si>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</si>
  <si>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</si>
  <si>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</si>
  <si>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</si>
  <si>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</si>
  <si>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</si>
  <si>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</si>
  <si>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</si>
  <si>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</si>
  <si>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</si>
  <si>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</si>
  <si>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</si>
  <si>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</si>
  <si>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</si>
  <si>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</si>
  <si>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</si>
  <si>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</si>
  <si>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</si>
  <si>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</si>
  <si>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</si>
  <si>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</si>
  <si>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</si>
  <si>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</si>
  <si>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</si>
  <si>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</si>
  <si>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</si>
  <si>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</si>
  <si>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</si>
  <si>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</si>
  <si>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</si>
  <si>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</si>
  <si>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</si>
  <si>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</si>
  <si>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</si>
  <si>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</si>
  <si>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</si>
  <si>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</si>
  <si>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</si>
  <si>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</si>
  <si>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</si>
  <si>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</si>
  <si>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</si>
  <si>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</si>
  <si>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</si>
  <si>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</si>
  <si>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</si>
  <si>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</si>
  <si>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</si>
  <si>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</si>
  <si>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</si>
  <si>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</si>
  <si>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</si>
  <si>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</si>
  <si>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</si>
  <si>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</si>
  <si>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</si>
  <si>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</si>
  <si>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</si>
  <si>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</si>
  <si>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</si>
  <si>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</si>
  <si>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</si>
  <si>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</si>
  <si>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</si>
  <si>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</si>
  <si>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</si>
  <si>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</si>
  <si>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</si>
  <si>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</si>
  <si>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</si>
  <si>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</si>
  <si>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</si>
  <si>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</si>
  <si>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</si>
  <si>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</si>
  <si>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</si>
  <si>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</si>
  <si>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</si>
  <si>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</si>
  <si>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</si>
  <si>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</si>
  <si>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</si>
  <si>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</si>
  <si>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</si>
  <si>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</si>
  <si>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</si>
  <si>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</si>
  <si>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</si>
  <si>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</si>
  <si>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</si>
  <si>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</si>
  <si>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</si>
  <si>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</si>
  <si>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</si>
  <si>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</si>
  <si>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</si>
  <si>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</si>
  <si>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</si>
  <si>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</si>
  <si>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</si>
  <si>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</si>
  <si>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</si>
  <si>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</si>
  <si>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</si>
  <si>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</si>
  <si>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</si>
  <si>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</si>
  <si>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</si>
  <si>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</si>
  <si>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</si>
  <si>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</si>
  <si>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</si>
  <si>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</si>
  <si>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</si>
  <si>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</si>
  <si>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</si>
  <si>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</si>
  <si>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</si>
  <si>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</si>
  <si>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</si>
  <si>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</si>
  <si>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</si>
  <si>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</si>
  <si>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</si>
  <si>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</si>
  <si>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</si>
  <si>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</si>
  <si>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</si>
  <si>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</si>
  <si>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</si>
  <si>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</si>
  <si>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</si>
  <si>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</si>
  <si>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</si>
  <si>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</si>
  <si>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</si>
  <si>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</si>
  <si>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</si>
  <si>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</si>
  <si>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</si>
  <si>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</si>
  <si>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</si>
  <si>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</si>
  <si>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</si>
  <si>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</si>
  <si>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</si>
  <si>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</si>
  <si>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</si>
  <si>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</si>
  <si>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</si>
  <si>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</si>
  <si>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</si>
  <si>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</si>
  <si>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</si>
  <si>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</si>
  <si>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</si>
  <si>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</si>
  <si>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</si>
  <si>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</si>
  <si>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</si>
  <si>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</si>
  <si>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</si>
  <si>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</si>
  <si>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</si>
  <si>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</si>
  <si>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</si>
  <si>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</si>
  <si>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</si>
  <si>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</si>
  <si>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</si>
  <si>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</si>
  <si>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</si>
  <si>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</si>
  <si>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</si>
  <si>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</si>
  <si>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</si>
  <si>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</si>
  <si>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</si>
  <si>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</si>
  <si>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</si>
  <si>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</si>
  <si>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</si>
  <si>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</si>
  <si>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</si>
  <si>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</si>
  <si>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</si>
  <si>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</si>
  <si>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</si>
  <si>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</si>
  <si>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</si>
  <si>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</si>
  <si>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</si>
  <si>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</si>
  <si>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</si>
  <si>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</si>
  <si>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</si>
  <si>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</si>
  <si>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</si>
  <si>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</si>
  <si>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</si>
  <si>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</si>
  <si>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</si>
  <si>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</si>
  <si>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</si>
  <si>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</si>
  <si>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</si>
  <si>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</si>
  <si>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</si>
  <si>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</si>
  <si>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</si>
  <si>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</si>
  <si>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</si>
  <si>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</si>
  <si>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</si>
  <si>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</si>
  <si>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</si>
  <si>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</si>
  <si>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</si>
  <si>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</si>
  <si>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</si>
  <si>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</si>
  <si>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</si>
  <si>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</si>
  <si>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</si>
  <si>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</si>
  <si>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</si>
  <si>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</si>
  <si>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</si>
  <si>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</si>
  <si>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</si>
  <si>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</si>
  <si>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</si>
  <si>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</si>
  <si>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</si>
  <si>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</si>
  <si>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</si>
  <si>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</si>
  <si>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</si>
  <si>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</si>
  <si>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</si>
  <si>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</si>
  <si>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</si>
  <si>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</si>
  <si>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</si>
  <si>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</si>
  <si>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</si>
  <si>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</si>
  <si>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</si>
  <si>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</si>
  <si>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</si>
  <si>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</si>
  <si>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</si>
  <si>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</si>
  <si>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</si>
  <si>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</si>
  <si>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</si>
  <si>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</si>
  <si>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</si>
  <si>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</si>
  <si>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</si>
  <si>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</si>
  <si>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</si>
  <si>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</si>
  <si>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</si>
  <si>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</si>
  <si>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</si>
  <si>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</si>
  <si>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</si>
  <si>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</si>
  <si>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</si>
  <si>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</si>
  <si>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</si>
  <si>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</si>
  <si>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</si>
  <si>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</si>
  <si>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</si>
  <si>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</si>
  <si>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</si>
  <si>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</si>
  <si>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</si>
  <si>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</si>
  <si>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</si>
  <si>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</si>
  <si>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</si>
  <si>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</si>
  <si>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</si>
  <si>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</si>
  <si>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</si>
  <si>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</si>
  <si>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</si>
  <si>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</si>
  <si>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</si>
  <si>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</si>
  <si>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</si>
  <si>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</si>
  <si>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</si>
  <si>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</si>
  <si>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</si>
  <si>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</si>
  <si>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</si>
  <si>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</si>
  <si>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</si>
  <si>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</si>
  <si>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</si>
  <si>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</si>
  <si>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</si>
  <si>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</si>
  <si>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</si>
  <si>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</si>
  <si>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</si>
  <si>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</si>
  <si>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</si>
  <si>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</si>
  <si>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</si>
  <si>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</si>
  <si>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</si>
  <si>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</si>
  <si>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</si>
  <si>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</si>
  <si>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</si>
  <si>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</si>
  <si>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</si>
  <si>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</si>
  <si>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</si>
  <si>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</si>
  <si>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</si>
  <si>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</si>
  <si>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</si>
  <si>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</si>
  <si>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</si>
  <si>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</si>
  <si>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</si>
  <si>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</si>
  <si>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</si>
  <si>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</si>
  <si>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</si>
  <si>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</si>
  <si>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</si>
  <si>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</si>
  <si>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</si>
  <si>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</si>
  <si>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</si>
  <si>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</si>
  <si>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</si>
  <si>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</si>
  <si>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</si>
  <si>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</si>
  <si>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</si>
  <si>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</si>
  <si>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</si>
  <si>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</si>
  <si>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</si>
  <si>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</si>
  <si>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</si>
  <si>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</si>
  <si>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</si>
  <si>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</si>
  <si>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</si>
  <si>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</si>
  <si>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</si>
  <si>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</si>
  <si>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</si>
  <si>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</si>
  <si>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</si>
  <si>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</si>
  <si>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</si>
  <si>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</si>
  <si>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</si>
  <si>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</si>
  <si>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</si>
  <si>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</si>
  <si>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</si>
  <si>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</si>
  <si>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</si>
  <si>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</si>
  <si>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</si>
  <si>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</si>
  <si>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</si>
  <si>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</si>
  <si>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</si>
  <si>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</si>
  <si>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</si>
  <si>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</si>
  <si>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</si>
  <si>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</si>
  <si>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</si>
  <si>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</si>
  <si>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</si>
  <si>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</si>
  <si>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</si>
  <si>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</si>
  <si>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</si>
  <si>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</si>
  <si>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</si>
  <si>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</si>
  <si>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</si>
  <si>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</si>
  <si>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</si>
  <si>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</si>
  <si>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</si>
  <si>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</si>
  <si>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</si>
  <si>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</si>
  <si>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</si>
  <si>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</si>
  <si>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</si>
  <si>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</si>
  <si>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</si>
  <si>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</si>
  <si>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</si>
  <si>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</si>
  <si>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</si>
  <si>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</si>
  <si>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</si>
  <si>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</si>
  <si>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</si>
  <si>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</si>
  <si>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</si>
  <si>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</si>
  <si>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</si>
  <si>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</si>
  <si>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</si>
  <si>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</si>
  <si>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</si>
  <si>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</si>
  <si>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</si>
  <si>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</si>
  <si>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</si>
  <si>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</si>
  <si>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</si>
  <si>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</si>
  <si>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</si>
  <si>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</si>
  <si>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</si>
  <si>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</si>
  <si>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</si>
  <si>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</si>
  <si>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</si>
  <si>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</si>
  <si>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</si>
  <si>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</si>
  <si>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</si>
  <si>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</si>
  <si>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</si>
  <si>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</si>
  <si>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</si>
  <si>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</si>
  <si>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</si>
  <si>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</si>
  <si>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</si>
  <si>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</si>
  <si>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</si>
  <si>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</si>
  <si>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</si>
  <si>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</si>
  <si>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</si>
  <si>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</si>
  <si>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</si>
  <si>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</si>
  <si>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</si>
  <si>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</si>
  <si>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</si>
  <si>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</si>
  <si>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</si>
  <si>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</si>
  <si>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</si>
  <si>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</si>
  <si>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</si>
  <si>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</si>
  <si>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</si>
  <si>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</si>
  <si>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</si>
  <si>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</si>
  <si>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</si>
  <si>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</si>
  <si>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</si>
  <si>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</si>
  <si>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</si>
  <si>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</si>
  <si>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</si>
  <si>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</si>
  <si>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</si>
  <si>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</si>
  <si>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</si>
  <si>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</si>
  <si>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</si>
  <si>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</si>
  <si>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</si>
  <si>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</si>
  <si>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</si>
  <si>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</si>
  <si>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</si>
  <si>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</si>
  <si>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</si>
  <si>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</si>
  <si>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</si>
  <si>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</si>
  <si>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</si>
  <si>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</si>
  <si>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</si>
  <si>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</si>
  <si>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</si>
  <si>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</si>
  <si>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</si>
  <si>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</si>
  <si>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</si>
  <si>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</si>
  <si>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</si>
  <si>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</si>
  <si>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</si>
  <si>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</si>
  <si>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</si>
  <si>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</si>
  <si>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</si>
  <si>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</si>
  <si>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</si>
  <si>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</si>
  <si>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</si>
  <si>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</si>
  <si>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</si>
  <si>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</si>
  <si>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</si>
  <si>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</si>
  <si>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</si>
  <si>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</si>
  <si>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</si>
  <si>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</si>
  <si>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</si>
  <si>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</si>
  <si>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</si>
  <si>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</si>
  <si>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</si>
  <si>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</si>
  <si>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</si>
  <si>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</si>
  <si>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</si>
  <si>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</si>
  <si>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</si>
  <si>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</si>
  <si>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</si>
  <si>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</si>
  <si>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</si>
  <si>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</si>
  <si>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</si>
  <si>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</si>
  <si>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</si>
  <si>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</si>
  <si>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</si>
  <si>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</si>
  <si>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</si>
  <si>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</si>
  <si>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</si>
  <si>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</si>
  <si>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</si>
  <si>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</si>
  <si>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</si>
  <si>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</si>
  <si>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</si>
  <si>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</si>
  <si>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</si>
  <si>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</si>
  <si>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</si>
  <si>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</si>
  <si>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</si>
  <si>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</si>
  <si>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</si>
  <si>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</si>
  <si>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</si>
  <si>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</si>
  <si>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</si>
  <si>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</si>
  <si>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</si>
  <si>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</si>
  <si>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</si>
  <si>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</si>
  <si>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</si>
  <si>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</si>
  <si>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</si>
  <si>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</si>
  <si>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</si>
  <si>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</si>
  <si>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</si>
  <si>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</si>
  <si>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</si>
  <si>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</si>
  <si>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</si>
  <si>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</si>
  <si>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</si>
  <si>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</si>
  <si>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</si>
  <si>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</si>
  <si>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</si>
  <si>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</si>
  <si>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</si>
  <si>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</si>
  <si>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</si>
  <si>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</si>
  <si>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</si>
  <si>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</si>
  <si>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</si>
  <si>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</si>
  <si>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</si>
  <si>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</si>
  <si>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</si>
  <si>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</si>
  <si>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</si>
  <si>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</si>
  <si>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</si>
  <si>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</si>
  <si>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</si>
  <si>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</si>
  <si>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</si>
  <si>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</si>
  <si>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</si>
  <si>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</si>
  <si>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</si>
  <si>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</si>
  <si>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</si>
  <si>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</si>
  <si>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</si>
  <si>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</si>
  <si>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</si>
  <si>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</si>
  <si>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</si>
  <si>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</si>
  <si>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</si>
  <si>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</si>
  <si>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</si>
  <si>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</si>
  <si>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</si>
  <si>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</si>
  <si>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</si>
  <si>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</si>
  <si>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</si>
  <si>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</si>
  <si>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</si>
  <si>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</si>
  <si>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</si>
  <si>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</si>
  <si>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</si>
  <si>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</si>
  <si>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</si>
  <si>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</si>
  <si>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</si>
  <si>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</si>
  <si>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</si>
  <si>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</si>
  <si>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</si>
  <si>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</si>
  <si>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</si>
  <si>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</si>
  <si>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</si>
  <si>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</si>
  <si>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</si>
  <si>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</si>
  <si>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</si>
  <si>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</si>
  <si>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</si>
  <si>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</si>
  <si>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</si>
  <si>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</si>
  <si>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</si>
  <si>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</si>
  <si>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</si>
  <si>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</si>
  <si>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</si>
  <si>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</si>
  <si>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</si>
  <si>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</si>
  <si>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</si>
  <si>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</si>
  <si>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</si>
  <si>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</si>
  <si>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</si>
  <si>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</si>
  <si>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</si>
  <si>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</si>
  <si>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</si>
  <si>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</si>
  <si>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</si>
  <si>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</si>
  <si>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</si>
  <si>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</si>
  <si>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</si>
  <si>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</si>
  <si>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</si>
  <si>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</si>
  <si>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</si>
  <si>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</si>
  <si>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</si>
  <si>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</si>
  <si>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</si>
  <si>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</si>
  <si>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</si>
  <si>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</si>
  <si>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</si>
  <si>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</si>
  <si>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</si>
  <si>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</si>
  <si>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</si>
  <si>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</si>
  <si>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</si>
  <si>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</si>
  <si>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</si>
  <si>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</si>
  <si>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</si>
  <si>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</si>
  <si>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</si>
  <si>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</si>
  <si>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</si>
  <si>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</si>
  <si>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</si>
  <si>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</si>
  <si>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</si>
  <si>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</si>
  <si>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</si>
  <si>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</si>
  <si>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</si>
  <si>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</si>
  <si>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</si>
  <si>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</si>
  <si>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</si>
  <si>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</si>
  <si>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</si>
  <si>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</si>
  <si>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</si>
  <si>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</si>
  <si>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</si>
  <si>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</si>
  <si>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</si>
  <si>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</si>
  <si>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</si>
  <si>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</si>
  <si>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</si>
  <si>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</si>
  <si>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</si>
  <si>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</si>
  <si>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</si>
  <si>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</si>
  <si>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</si>
  <si>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</si>
  <si>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</si>
  <si>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</si>
  <si>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</si>
  <si>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</si>
  <si>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</si>
  <si>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</si>
  <si>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</si>
  <si>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</si>
  <si>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</si>
  <si>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</si>
  <si>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</si>
  <si>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</si>
  <si>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</si>
  <si>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</si>
  <si>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</si>
  <si>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</si>
  <si>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</si>
  <si>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</si>
  <si>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</si>
  <si>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</si>
  <si>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</si>
  <si>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</si>
  <si>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</si>
  <si>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</si>
  <si>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</si>
  <si>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</si>
  <si>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</si>
  <si>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</si>
  <si>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</si>
  <si>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</si>
  <si>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</si>
  <si>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</si>
  <si>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</si>
  <si>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</si>
  <si>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</si>
  <si>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</si>
  <si>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</si>
  <si>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</si>
  <si>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</si>
  <si>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</si>
  <si>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</si>
  <si>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</si>
  <si>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</si>
  <si>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</si>
  <si>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</si>
  <si>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</si>
  <si>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</si>
  <si>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</si>
  <si>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</si>
  <si>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</si>
  <si>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</si>
  <si>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</si>
  <si>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</si>
  <si>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</si>
  <si>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</si>
  <si>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</si>
  <si>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</si>
  <si>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</si>
  <si>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</si>
  <si>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</si>
  <si>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</si>
  <si>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</si>
  <si>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</si>
  <si>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</si>
  <si>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</si>
  <si>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</si>
  <si>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</si>
  <si>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</si>
  <si>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</si>
  <si>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</si>
  <si>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</si>
  <si>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</si>
  <si>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</si>
  <si>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</si>
  <si>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</si>
  <si>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</si>
  <si>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</si>
  <si>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</si>
  <si>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</si>
  <si>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</si>
  <si>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</si>
  <si>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</si>
  <si>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</si>
  <si>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</si>
  <si>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</si>
  <si>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</si>
  <si>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</si>
  <si>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</si>
  <si>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</si>
  <si>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</si>
  <si>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</si>
  <si>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</si>
  <si>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</si>
  <si>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</si>
  <si>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</si>
  <si>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</si>
  <si>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</si>
  <si>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</si>
  <si>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</si>
  <si>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</si>
  <si>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</si>
  <si>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</si>
  <si>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</si>
  <si>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</si>
  <si>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</si>
  <si>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</si>
  <si>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</si>
  <si>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</si>
  <si>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</si>
  <si>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</si>
  <si>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</si>
  <si>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</si>
  <si>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</si>
  <si>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</si>
  <si>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</si>
  <si>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</si>
  <si>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</si>
  <si>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</si>
  <si>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</si>
  <si>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</si>
  <si>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</si>
  <si>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</si>
  <si>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</si>
  <si>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</si>
  <si>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</si>
  <si>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</si>
  <si>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</si>
  <si>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</si>
  <si>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</si>
  <si>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</si>
  <si>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</si>
  <si>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</si>
  <si>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</si>
  <si>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</si>
  <si>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</si>
  <si>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</si>
  <si>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</si>
  <si>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</si>
  <si>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</si>
  <si>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</si>
  <si>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</si>
  <si>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</si>
  <si>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</si>
  <si>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</si>
  <si>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</si>
  <si>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</si>
  <si>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</si>
  <si>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</si>
  <si>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</si>
  <si>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</si>
  <si>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</si>
  <si>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</si>
  <si>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</si>
  <si>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</si>
  <si>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</si>
  <si>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</si>
  <si>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</si>
  <si>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</si>
  <si>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</si>
  <si>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</si>
  <si>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</si>
  <si>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</si>
  <si>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</si>
  <si>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</si>
  <si>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</si>
  <si>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</si>
  <si>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</si>
  <si>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</si>
  <si>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</si>
  <si>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</si>
  <si>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</si>
  <si>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</si>
  <si>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</si>
  <si>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</si>
  <si>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</si>
  <si>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</si>
  <si>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</si>
  <si>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</si>
  <si>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</si>
  <si>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</si>
  <si>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</si>
  <si>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</si>
  <si>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</si>
  <si>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</si>
  <si>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</si>
  <si>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</si>
  <si>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</si>
  <si>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</si>
  <si>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</si>
  <si>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</si>
  <si>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</si>
  <si>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</si>
  <si>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</si>
  <si>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</si>
  <si>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</si>
  <si>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</si>
  <si>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</si>
  <si>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</si>
  <si>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</si>
  <si>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</si>
  <si>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</si>
  <si>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</si>
  <si>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</si>
  <si>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</si>
  <si>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</si>
  <si>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</si>
  <si>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</si>
  <si>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</si>
  <si>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</si>
  <si>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</si>
  <si>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</si>
  <si>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</si>
  <si>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</si>
  <si>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</si>
  <si>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</si>
  <si>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</si>
  <si>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</si>
  <si>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</si>
  <si>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</si>
  <si>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</si>
  <si>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</si>
  <si>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</si>
  <si>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</si>
  <si>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</si>
  <si>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</si>
  <si>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</si>
  <si>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</si>
  <si>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</si>
  <si>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</si>
  <si>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</si>
  <si>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</si>
  <si>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</si>
  <si>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</si>
  <si>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</si>
  <si>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</si>
  <si>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</si>
  <si>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</si>
  <si>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</si>
  <si>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</si>
  <si>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</si>
  <si>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</si>
  <si>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</si>
  <si>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</si>
  <si>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</si>
  <si>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</si>
  <si>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</si>
  <si>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</si>
  <si>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</si>
  <si>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</si>
  <si>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</si>
  <si>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</si>
  <si>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</si>
  <si>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</si>
  <si>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</si>
  <si>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</si>
  <si>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</si>
  <si>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</si>
  <si>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</si>
  <si>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</si>
  <si>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</si>
  <si>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</si>
  <si>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</si>
  <si>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</si>
  <si>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</si>
  <si>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</si>
  <si>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</si>
  <si>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</si>
  <si>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</si>
  <si>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</si>
  <si>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</si>
  <si>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</si>
  <si>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</si>
  <si>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</si>
  <si>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</si>
  <si>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</si>
  <si>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</si>
  <si>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</si>
  <si>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</si>
  <si>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</si>
  <si>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</si>
  <si>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</si>
  <si>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</si>
  <si>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</si>
  <si>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</si>
  <si>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</si>
  <si>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</si>
  <si>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</si>
  <si>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</si>
  <si>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</si>
  <si>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</si>
  <si>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</si>
  <si>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</si>
  <si>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</si>
  <si>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</si>
  <si>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</si>
  <si>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</si>
  <si>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</si>
  <si>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</si>
  <si>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</si>
  <si>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</si>
  <si>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</si>
  <si>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</si>
  <si>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</si>
  <si>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</si>
  <si>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</si>
  <si>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</si>
  <si>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</si>
  <si>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</si>
  <si>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</si>
  <si>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</si>
  <si>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</si>
  <si>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</si>
  <si>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</si>
  <si>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</si>
  <si>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</si>
  <si>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</si>
  <si>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</si>
  <si>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</si>
  <si>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</si>
  <si>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</si>
  <si>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</si>
  <si>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</si>
  <si>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</si>
  <si>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</si>
  <si>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</si>
  <si>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</si>
  <si>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</si>
  <si>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</si>
  <si>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</si>
  <si>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</si>
  <si>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</si>
  <si>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</si>
  <si>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</si>
  <si>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</si>
  <si>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</si>
  <si>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</si>
  <si>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</si>
  <si>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</si>
  <si>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</si>
  <si>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</si>
  <si>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</si>
  <si>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</si>
  <si>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</si>
  <si>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</si>
  <si>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</si>
  <si>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</si>
  <si>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</si>
  <si>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</si>
  <si>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</si>
  <si>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</si>
  <si>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</si>
  <si>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</si>
  <si>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</si>
  <si>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</si>
  <si>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</si>
  <si>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</si>
  <si>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</si>
  <si>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</si>
  <si>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</si>
  <si>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</si>
  <si>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</si>
  <si>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</si>
  <si>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</si>
  <si>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</si>
  <si>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</si>
  <si>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</si>
  <si>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</si>
  <si>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</si>
  <si>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</si>
  <si>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</si>
  <si>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</si>
  <si>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</si>
  <si>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</si>
  <si>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</si>
  <si>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</si>
  <si>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</si>
  <si>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</si>
  <si>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</si>
  <si>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</si>
  <si>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</si>
  <si>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</si>
  <si>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</si>
  <si>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</si>
  <si>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</si>
  <si>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</si>
  <si>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</si>
  <si>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</si>
  <si>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</si>
  <si>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</si>
  <si>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</si>
  <si>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</si>
  <si>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</si>
  <si>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</si>
  <si>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</si>
  <si>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</si>
  <si>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</si>
  <si>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</si>
  <si>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</si>
  <si>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</si>
  <si>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</si>
  <si>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</si>
  <si>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</si>
  <si>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</si>
  <si>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</si>
  <si>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</si>
  <si>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</si>
  <si>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</si>
  <si>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</si>
  <si>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</si>
  <si>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</si>
  <si>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</si>
  <si>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</si>
  <si>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</si>
  <si>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</si>
  <si>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</si>
  <si>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</si>
  <si>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</si>
  <si>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</si>
  <si>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</si>
  <si>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</si>
  <si>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</si>
  <si>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</si>
  <si>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</si>
  <si>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</si>
  <si>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</si>
  <si>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</si>
  <si>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</si>
  <si>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</si>
  <si>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</si>
  <si>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</si>
  <si>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</si>
  <si>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</si>
  <si>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</si>
  <si>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</si>
  <si>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</si>
  <si>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</si>
  <si>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</si>
  <si>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</si>
  <si>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</si>
  <si>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</si>
  <si>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</si>
  <si>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</si>
  <si>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</si>
  <si>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</si>
  <si>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</si>
  <si>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</si>
  <si>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</si>
  <si>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</si>
  <si>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</si>
  <si>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</si>
  <si>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</si>
  <si>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</si>
  <si>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</si>
  <si>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</si>
  <si>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</si>
  <si>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</si>
  <si>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</si>
  <si>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</si>
  <si>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</si>
  <si>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</si>
  <si>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</si>
  <si>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</si>
  <si>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</si>
  <si>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</si>
  <si>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</si>
  <si>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</si>
  <si>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</si>
  <si>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</si>
  <si>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</si>
  <si>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</si>
  <si>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</si>
  <si>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</si>
  <si>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</si>
  <si>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</si>
  <si>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</si>
  <si>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</si>
  <si>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</si>
  <si>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</si>
  <si>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</si>
  <si>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</si>
  <si>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</si>
  <si>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</si>
  <si>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</si>
  <si>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</si>
  <si>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</si>
  <si>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</si>
  <si>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</si>
  <si>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</si>
  <si>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</si>
  <si>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</si>
  <si>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</si>
  <si>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</si>
  <si>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</si>
  <si>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</si>
  <si>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</si>
  <si>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</si>
  <si>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</si>
  <si>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</si>
  <si>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</si>
  <si>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</si>
  <si>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</si>
  <si>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</si>
  <si>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</si>
  <si>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</si>
  <si>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</si>
  <si>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</si>
  <si>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</si>
  <si>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</si>
  <si>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</si>
  <si>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</si>
  <si>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</si>
  <si>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</si>
  <si>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</si>
  <si>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</si>
  <si>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</si>
  <si>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</si>
  <si>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</si>
  <si>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</si>
  <si>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</si>
  <si>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</si>
  <si>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</si>
  <si>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</si>
  <si>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</si>
  <si>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</si>
  <si>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</si>
  <si>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</si>
  <si>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</si>
  <si>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</si>
  <si>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</si>
  <si>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</si>
  <si>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</si>
  <si>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</si>
  <si>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</si>
  <si>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</si>
  <si>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</si>
  <si>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</si>
  <si>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</si>
  <si>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</si>
  <si>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</si>
  <si>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</si>
  <si>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</si>
  <si>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</si>
  <si>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</si>
  <si>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</si>
  <si>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</si>
  <si>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</si>
  <si>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</si>
  <si>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</si>
  <si>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</si>
  <si>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</si>
  <si>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</si>
  <si>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</si>
  <si>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</si>
  <si>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</si>
  <si>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</si>
  <si>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</si>
  <si>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</si>
  <si>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</si>
  <si>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</si>
  <si>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</si>
  <si>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</si>
  <si>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</si>
  <si>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</si>
  <si>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</si>
  <si>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</si>
  <si>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</si>
  <si>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</si>
  <si>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</si>
  <si>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</si>
  <si>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</si>
  <si>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</si>
  <si>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</si>
  <si>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</si>
  <si>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</si>
  <si>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</si>
  <si>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</si>
  <si>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</si>
  <si>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</si>
  <si>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</si>
  <si>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</si>
  <si>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</si>
  <si>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</si>
  <si>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</si>
  <si>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</si>
  <si>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</si>
  <si>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</si>
  <si>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</si>
  <si>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</si>
  <si>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</si>
  <si>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</si>
  <si>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</si>
  <si>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</si>
  <si>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</si>
  <si>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</si>
  <si>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</si>
  <si>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</si>
  <si>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</si>
  <si>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</si>
  <si>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</si>
  <si>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</si>
  <si>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</si>
  <si>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</si>
  <si>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</si>
  <si>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</si>
  <si>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</si>
  <si>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</si>
  <si>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</si>
  <si>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</si>
  <si>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</si>
  <si>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</si>
  <si>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</si>
  <si>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</si>
  <si>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</si>
  <si>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</si>
  <si>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</si>
  <si>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</si>
  <si>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</si>
  <si>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</si>
  <si>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</si>
  <si>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</si>
  <si>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</si>
  <si>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</si>
  <si>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</si>
  <si>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</si>
  <si>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</si>
  <si>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</si>
  <si>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</si>
  <si>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</si>
  <si>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</si>
  <si>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</si>
  <si>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</si>
  <si>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</si>
  <si>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</si>
  <si>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</si>
  <si>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</si>
  <si>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</si>
  <si>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</si>
  <si>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</si>
  <si>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</si>
  <si>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</si>
  <si>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</si>
  <si>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</si>
  <si>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</si>
  <si>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</si>
  <si>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</si>
  <si>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</si>
  <si>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</si>
  <si>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</si>
  <si>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</si>
  <si>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</si>
  <si>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</si>
  <si>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</si>
  <si>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</si>
  <si>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</si>
  <si>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</si>
  <si>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</si>
  <si>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</si>
  <si>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</si>
  <si>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</si>
  <si>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</si>
  <si>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</si>
  <si>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</si>
  <si>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</si>
  <si>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</si>
  <si>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</si>
  <si>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</si>
  <si>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</si>
  <si>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</si>
  <si>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</si>
  <si>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</si>
  <si>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</si>
  <si>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</si>
  <si>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</si>
  <si>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</si>
  <si>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</si>
  <si>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</si>
  <si>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</si>
  <si>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</si>
  <si>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</si>
  <si>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</si>
  <si>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</si>
  <si>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</si>
  <si>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</si>
  <si>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</si>
  <si>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</si>
  <si>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</si>
  <si>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</si>
  <si>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</si>
  <si>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</si>
  <si>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</si>
  <si>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</si>
  <si>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</si>
  <si>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</si>
  <si>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</si>
  <si>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</si>
  <si>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</si>
  <si>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</si>
  <si>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</si>
  <si>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</si>
  <si>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</si>
  <si>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</si>
  <si>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</si>
  <si>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</si>
  <si>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</si>
  <si>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</si>
  <si>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</si>
  <si>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</si>
  <si>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</si>
  <si>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</si>
  <si>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</si>
  <si>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</si>
  <si>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</si>
  <si>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</si>
  <si>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</si>
  <si>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</si>
  <si>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</si>
  <si>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</si>
  <si>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</si>
  <si>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</si>
  <si>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</si>
  <si>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</si>
  <si>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</si>
  <si>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</si>
  <si>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</si>
  <si>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</si>
  <si>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</si>
  <si>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</si>
  <si>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</si>
  <si>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</si>
  <si>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</si>
  <si>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</si>
  <si>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</si>
  <si>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</si>
  <si>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</si>
  <si>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</si>
  <si>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</si>
  <si>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</si>
  <si>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</si>
  <si>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</si>
  <si>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</si>
  <si>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</si>
  <si>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</si>
  <si>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</si>
  <si>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</si>
  <si>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</si>
  <si>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</si>
  <si>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</si>
  <si>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</si>
  <si>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</si>
  <si>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</si>
  <si>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</si>
  <si>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</si>
  <si>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</si>
  <si>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</si>
  <si>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</si>
  <si>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</si>
  <si>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</si>
  <si>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</si>
  <si>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</si>
  <si>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</si>
  <si>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</si>
  <si>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</si>
  <si>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</si>
  <si>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</si>
  <si>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</si>
  <si>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</si>
  <si>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</si>
  <si>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</si>
  <si>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</si>
  <si>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</si>
  <si>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</si>
  <si>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</si>
  <si>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</si>
  <si>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</si>
  <si>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</si>
  <si>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</si>
  <si>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</si>
  <si>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</si>
  <si>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</si>
  <si>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</si>
  <si>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</si>
  <si>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</si>
  <si>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</si>
  <si>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</si>
  <si>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</si>
  <si>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</si>
  <si>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</si>
  <si>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</si>
  <si>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</si>
  <si>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</si>
  <si>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</si>
  <si>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</si>
  <si>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</si>
  <si>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</si>
  <si>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</si>
  <si>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</si>
  <si>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</si>
  <si>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</si>
  <si>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</si>
  <si>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</si>
  <si>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</si>
  <si>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</si>
  <si>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</si>
  <si>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</si>
  <si>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</si>
  <si>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</si>
  <si>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</si>
  <si>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</si>
  <si>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</si>
  <si>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</si>
  <si>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</si>
  <si>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</si>
  <si>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</si>
  <si>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</si>
  <si>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</si>
  <si>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</si>
  <si>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</si>
  <si>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</si>
  <si>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</si>
  <si>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</si>
  <si>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</si>
  <si>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</si>
  <si>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</si>
  <si>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</si>
  <si>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</si>
  <si>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</si>
  <si>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</si>
  <si>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</si>
  <si>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</si>
  <si>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</si>
  <si>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</si>
  <si>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</si>
  <si>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</si>
  <si>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</si>
  <si>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</si>
  <si>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</si>
  <si>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</si>
  <si>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</si>
  <si>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</si>
  <si>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</si>
  <si>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</si>
  <si>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</si>
  <si>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</si>
  <si>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</si>
  <si>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</si>
  <si>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</si>
  <si>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</si>
  <si>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</si>
  <si>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</si>
  <si>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</si>
  <si>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</si>
  <si>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</si>
  <si>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</si>
  <si>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</si>
  <si>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</si>
  <si>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</si>
  <si>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</si>
  <si>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</si>
  <si>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</si>
  <si>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</si>
  <si>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</si>
  <si>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</si>
  <si>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</si>
  <si>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</si>
  <si>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</si>
  <si>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</si>
  <si>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</si>
  <si>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</si>
  <si>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</si>
  <si>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</si>
  <si>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</si>
  <si>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</si>
  <si>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</si>
  <si>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</si>
  <si>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</si>
  <si>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</si>
  <si>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</si>
  <si>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</si>
  <si>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</si>
  <si>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</si>
  <si>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</si>
  <si>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</si>
  <si>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</si>
  <si>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</si>
  <si>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</si>
  <si>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</si>
  <si>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</si>
  <si>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</si>
  <si>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</si>
  <si>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</si>
  <si>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</si>
  <si>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</si>
  <si>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</si>
  <si>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</si>
  <si>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</si>
  <si>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</si>
  <si>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</si>
  <si>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</si>
  <si>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</si>
  <si>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</si>
  <si>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</si>
  <si>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</si>
  <si>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</si>
  <si>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</si>
  <si>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</si>
  <si>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</si>
  <si>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</si>
  <si>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</si>
  <si>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</si>
  <si>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</si>
  <si>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</si>
  <si>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</si>
  <si>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</si>
  <si>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</si>
  <si>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</si>
  <si>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</si>
  <si>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</si>
  <si>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</si>
  <si>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</si>
  <si>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</si>
  <si>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</si>
  <si>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</si>
  <si>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</si>
  <si>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</si>
  <si>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</si>
  <si>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</si>
  <si>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</si>
  <si>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</si>
  <si>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</si>
  <si>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</si>
  <si>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</si>
  <si>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</si>
  <si>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</si>
  <si>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</si>
  <si>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</si>
  <si>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</si>
  <si>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</si>
  <si>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</si>
  <si>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</si>
  <si>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</si>
  <si>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</si>
  <si>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</si>
  <si>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</si>
  <si>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</si>
  <si>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</si>
  <si>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</si>
  <si>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</si>
  <si>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</si>
  <si>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</si>
  <si>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</si>
  <si>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</si>
  <si>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</si>
  <si>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</si>
  <si>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</si>
  <si>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</si>
  <si>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</si>
  <si>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</si>
  <si>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</si>
  <si>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</si>
  <si>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</si>
  <si>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</si>
  <si>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</si>
  <si>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</si>
  <si>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</si>
  <si>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</si>
  <si>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</si>
  <si>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</si>
  <si>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</si>
  <si>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</si>
  <si>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</si>
  <si>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</si>
  <si>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</si>
  <si>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</si>
  <si>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</si>
  <si>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</si>
  <si>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</si>
  <si>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</si>
  <si>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</si>
  <si>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</si>
  <si>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</si>
  <si>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</si>
  <si>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</si>
  <si>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</si>
  <si>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</si>
  <si>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</si>
  <si>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</si>
  <si>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</si>
  <si>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</si>
  <si>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</si>
  <si>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</si>
  <si>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</si>
  <si>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</si>
  <si>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</si>
  <si>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</si>
  <si>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</si>
  <si>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</si>
  <si>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</si>
  <si>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</si>
  <si>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</si>
  <si>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</si>
  <si>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</si>
  <si>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</si>
  <si>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</si>
  <si>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</si>
  <si>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</si>
  <si>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</si>
  <si>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</si>
  <si>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</si>
  <si>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</si>
  <si>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</si>
  <si>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</si>
  <si>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</si>
  <si>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</si>
  <si>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</si>
  <si>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</si>
  <si>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</si>
  <si>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</si>
  <si>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</si>
  <si>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</si>
  <si>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</si>
  <si>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</si>
  <si>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</si>
  <si>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</si>
  <si>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</si>
  <si>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</si>
  <si>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</si>
  <si>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</si>
  <si>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</si>
  <si>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</si>
  <si>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</si>
  <si>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</si>
  <si>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</si>
  <si>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</si>
  <si>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</si>
  <si>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</si>
  <si>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</si>
  <si>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</si>
  <si>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</si>
  <si>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</si>
  <si>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</si>
  <si>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</si>
  <si>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</si>
  <si>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</si>
  <si>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</si>
  <si>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</si>
  <si>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</si>
  <si>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</si>
  <si>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</si>
  <si>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</si>
  <si>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</si>
  <si>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</si>
  <si>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</si>
  <si>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</si>
  <si>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</si>
  <si>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</si>
  <si>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</si>
  <si>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</si>
  <si>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</si>
  <si>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</si>
  <si>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</si>
  <si>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</si>
  <si>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</si>
  <si>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</si>
  <si>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</si>
  <si>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</si>
  <si>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</si>
  <si>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</si>
  <si>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</si>
  <si>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</si>
  <si>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</si>
  <si>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</si>
  <si>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</si>
  <si>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</si>
  <si>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</si>
  <si>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</si>
  <si>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</si>
  <si>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</si>
  <si>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</si>
  <si>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</si>
  <si>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</si>
  <si>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</si>
  <si>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</si>
  <si>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</si>
  <si>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</si>
  <si>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</si>
  <si>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</si>
  <si>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</si>
  <si>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</si>
  <si>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</si>
  <si>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</si>
  <si>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</si>
  <si>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</si>
  <si>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</si>
  <si>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</si>
  <si>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</si>
  <si>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</si>
  <si>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</si>
  <si>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</si>
  <si>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</si>
  <si>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</si>
  <si>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</si>
  <si>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</si>
  <si>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</si>
  <si>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</si>
  <si>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</si>
  <si>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</si>
  <si>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</si>
  <si>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</si>
  <si>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</si>
  <si>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</si>
  <si>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</si>
  <si>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</si>
  <si>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</si>
  <si>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</si>
  <si>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</si>
  <si>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</si>
  <si>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</si>
  <si>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</si>
  <si>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</si>
  <si>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</si>
  <si>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</si>
  <si>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</si>
  <si>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</si>
  <si>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</si>
  <si>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</si>
  <si>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</si>
  <si>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</si>
  <si>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</si>
  <si>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</si>
  <si>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</si>
  <si>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</si>
  <si>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</si>
  <si>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</si>
  <si>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</si>
  <si>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</si>
  <si>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</si>
  <si>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</si>
  <si>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</si>
  <si>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</si>
  <si>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</si>
  <si>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</si>
  <si>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</si>
  <si>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</si>
  <si>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</si>
  <si>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</si>
  <si>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</si>
  <si>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</si>
  <si>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</si>
  <si>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</si>
  <si>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</si>
  <si>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</si>
  <si>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</si>
  <si>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</si>
  <si>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</si>
  <si>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</si>
  <si>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</si>
  <si>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</si>
  <si>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</si>
  <si>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</si>
  <si>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</si>
  <si>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</si>
  <si>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</si>
  <si>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</si>
  <si>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</si>
  <si>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</si>
  <si>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</si>
  <si>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</si>
  <si>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</si>
  <si>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</si>
  <si>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</si>
  <si>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</si>
  <si>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</si>
  <si>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</si>
  <si>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</si>
  <si>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</si>
  <si>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</si>
  <si>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</si>
  <si>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</si>
  <si>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</si>
  <si>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</si>
  <si>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</si>
  <si>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</si>
  <si>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</si>
  <si>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</si>
  <si>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</si>
  <si>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</si>
  <si>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</si>
  <si>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</si>
  <si>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</si>
  <si>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</si>
  <si>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</si>
  <si>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</si>
  <si>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</si>
  <si>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</si>
  <si>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</si>
  <si>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</si>
  <si>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</si>
  <si>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</si>
  <si>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</si>
  <si>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</si>
  <si>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</si>
  <si>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</si>
  <si>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</si>
  <si>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</si>
  <si>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</si>
  <si>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</si>
  <si>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</si>
  <si>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</si>
  <si>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</si>
  <si>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</si>
  <si>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</si>
  <si>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</si>
  <si>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</si>
  <si>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</si>
  <si>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</si>
  <si>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</si>
  <si>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</si>
  <si>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</si>
  <si>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</si>
  <si>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</si>
  <si>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</si>
  <si>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</si>
  <si>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</si>
  <si>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</si>
  <si>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</si>
  <si>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</si>
  <si>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</si>
  <si>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</si>
  <si>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</si>
  <si>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</si>
  <si>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</si>
  <si>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</si>
  <si>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</si>
  <si>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</si>
  <si>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</si>
  <si>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</si>
  <si>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</si>
  <si>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</si>
  <si>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</si>
  <si>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</si>
  <si>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</si>
  <si>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</si>
  <si>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</si>
  <si>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</si>
  <si>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</si>
  <si>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</si>
  <si>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</si>
  <si>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</si>
  <si>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</si>
  <si>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</si>
  <si>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</si>
  <si>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</si>
  <si>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</si>
  <si>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</si>
  <si>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</si>
  <si>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</si>
  <si>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</si>
  <si>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</si>
  <si>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</si>
  <si>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</si>
  <si>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</si>
  <si>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</si>
  <si>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</si>
  <si>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</si>
  <si>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</si>
  <si>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</si>
  <si>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</si>
  <si>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</si>
  <si>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</si>
  <si>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</si>
  <si>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</si>
  <si>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</si>
  <si>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</si>
  <si>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</si>
  <si>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</si>
  <si>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</si>
  <si>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</si>
  <si>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</si>
  <si>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</si>
  <si>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</si>
  <si>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</si>
  <si>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</si>
  <si>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</si>
  <si>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</si>
  <si>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</si>
  <si>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</si>
  <si>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</si>
  <si>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</si>
  <si>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</si>
  <si>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</si>
  <si>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</si>
  <si>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</si>
  <si>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</si>
  <si>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</si>
  <si>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</si>
  <si>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</si>
  <si>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</si>
  <si>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</si>
  <si>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</si>
  <si>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</si>
  <si>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</si>
  <si>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</si>
  <si>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</si>
  <si>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</si>
  <si>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</si>
  <si>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</si>
  <si>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</si>
  <si>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</si>
  <si>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</si>
  <si>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</si>
  <si>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</si>
  <si>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</si>
  <si>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</si>
  <si>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</si>
  <si>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</si>
  <si>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</si>
  <si>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</si>
  <si>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</si>
  <si>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</si>
  <si>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</si>
  <si>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</si>
  <si>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</si>
  <si>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</si>
  <si>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</si>
  <si>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</si>
  <si>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</si>
  <si>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</si>
  <si>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</si>
  <si>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</si>
  <si>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</si>
  <si>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</si>
  <si>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</si>
  <si>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</si>
  <si>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</si>
  <si>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</si>
  <si>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</si>
  <si>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</si>
  <si>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</si>
  <si>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</si>
  <si>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</si>
  <si>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</si>
  <si>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</si>
  <si>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</si>
  <si>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</si>
  <si>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</si>
  <si>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</si>
  <si>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</si>
  <si>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</si>
  <si>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</si>
  <si>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</si>
  <si>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</si>
  <si>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</si>
  <si>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</si>
  <si>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</si>
  <si>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</si>
  <si>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</si>
  <si>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</si>
  <si>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</si>
  <si>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</si>
  <si>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</si>
  <si>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</si>
  <si>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</si>
  <si>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</si>
  <si>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</si>
  <si>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</si>
  <si>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</si>
  <si>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</si>
  <si>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</si>
  <si>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</si>
  <si>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</si>
  <si>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</si>
  <si>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</si>
  <si>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</si>
  <si>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</si>
  <si>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</si>
  <si>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</si>
  <si>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</si>
  <si>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</si>
  <si>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</si>
  <si>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</si>
  <si>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</si>
  <si>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</si>
  <si>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</si>
  <si>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</si>
  <si>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</si>
  <si>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</si>
  <si>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</si>
  <si>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</si>
  <si>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</si>
  <si>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</si>
  <si>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</si>
  <si>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</si>
  <si>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</si>
  <si>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</si>
  <si>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</si>
  <si>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</si>
  <si>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</si>
  <si>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</si>
  <si>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</si>
  <si>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</si>
  <si>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</si>
  <si>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</si>
  <si>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</si>
  <si>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</si>
  <si>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</si>
  <si>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</si>
  <si>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</si>
  <si>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</si>
  <si>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</si>
  <si>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</si>
  <si>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</si>
  <si>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</si>
  <si>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</si>
  <si>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</si>
  <si>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</si>
  <si>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</si>
  <si>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</si>
  <si>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</si>
  <si>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</si>
  <si>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</si>
  <si>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</si>
  <si>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</si>
  <si>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</si>
  <si>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</si>
  <si>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</si>
  <si>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</si>
  <si>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</si>
  <si>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</si>
  <si>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</si>
  <si>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</si>
  <si>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</si>
  <si>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</si>
  <si>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</si>
  <si>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</si>
  <si>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</si>
  <si>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</si>
  <si>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</si>
  <si>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</si>
  <si>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</si>
  <si>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</si>
  <si>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</si>
  <si>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</si>
  <si>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</si>
  <si>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</si>
  <si>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</si>
  <si>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</si>
  <si>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</si>
  <si>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</si>
  <si>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</si>
  <si>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</si>
  <si>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</si>
  <si>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</si>
  <si>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</si>
  <si>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</si>
  <si>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</si>
  <si>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</si>
  <si>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</si>
  <si>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</si>
  <si>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</si>
  <si>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</si>
  <si>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</si>
  <si>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</si>
  <si>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</si>
  <si>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</si>
  <si>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</si>
  <si>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</si>
  <si>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</si>
  <si>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</si>
  <si>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</si>
  <si>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</si>
  <si>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</si>
  <si>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</si>
  <si>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</si>
  <si>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</si>
  <si>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</si>
  <si>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</si>
  <si>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</si>
  <si>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</si>
  <si>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</si>
  <si>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</si>
  <si>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</si>
  <si>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</si>
  <si>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</si>
  <si>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</si>
  <si>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</si>
  <si>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</si>
  <si>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</si>
  <si>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</si>
  <si>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</si>
  <si>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</si>
  <si>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</si>
  <si>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</si>
  <si>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</si>
  <si>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</si>
  <si>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</si>
  <si>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</si>
  <si>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</si>
  <si>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</si>
  <si>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</si>
  <si>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</si>
  <si>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</si>
  <si>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</si>
  <si>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</si>
  <si>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</si>
  <si>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</si>
  <si>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</si>
  <si>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</si>
  <si>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</si>
  <si>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</si>
  <si>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</si>
  <si>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</si>
  <si>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</si>
  <si>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</si>
  <si>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</si>
  <si>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</si>
  <si>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</si>
  <si>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</si>
  <si>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</si>
  <si>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</si>
  <si>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</si>
  <si>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</si>
  <si>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</si>
  <si>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</si>
  <si>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</si>
  <si>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</si>
  <si>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</si>
  <si>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</si>
  <si>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</si>
  <si>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</si>
  <si>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</si>
  <si>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</si>
  <si>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</si>
  <si>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</si>
  <si>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</si>
  <si>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</si>
  <si>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</si>
  <si>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</si>
  <si>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</si>
  <si>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</si>
  <si>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</si>
  <si>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</si>
  <si>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</si>
  <si>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</si>
  <si>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</si>
  <si>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</si>
  <si>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</si>
  <si>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</si>
  <si>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</si>
  <si>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</si>
  <si>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</si>
  <si>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</si>
  <si>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</si>
  <si>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</si>
  <si>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</si>
  <si>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</si>
  <si>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</si>
  <si>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</si>
  <si>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</si>
  <si>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</si>
  <si>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</si>
  <si>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</si>
  <si>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</si>
  <si>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</si>
  <si>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</si>
  <si>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</si>
  <si>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</si>
  <si>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</si>
  <si>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</si>
  <si>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</si>
  <si>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</si>
  <si>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</si>
  <si>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</si>
  <si>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</si>
  <si>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</si>
  <si>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</si>
  <si>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</si>
  <si>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</si>
  <si>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</si>
  <si>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</si>
  <si>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</si>
  <si>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</si>
  <si>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</si>
  <si>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</si>
  <si>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</si>
  <si>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</si>
  <si>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</si>
  <si>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</si>
  <si>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</si>
  <si>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</si>
  <si>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</si>
  <si>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</si>
  <si>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</si>
  <si>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</si>
  <si>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</si>
  <si>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</si>
  <si>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</si>
  <si>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</si>
  <si>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</si>
  <si>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</si>
  <si>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</si>
  <si>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</si>
  <si>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</si>
  <si>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</si>
  <si>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</si>
  <si>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</si>
  <si>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</si>
  <si>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</si>
  <si>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</si>
  <si>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</si>
  <si>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</si>
  <si>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</si>
  <si>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</si>
  <si>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</si>
  <si>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</si>
  <si>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</si>
  <si>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</si>
  <si>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</si>
  <si>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</si>
  <si>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</si>
  <si>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</si>
  <si>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</si>
  <si>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</si>
  <si>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</si>
  <si>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</si>
  <si>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</si>
  <si>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</si>
  <si>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</si>
  <si>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</si>
  <si>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</si>
  <si>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</si>
  <si>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</si>
  <si>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</si>
  <si>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</si>
  <si>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</si>
  <si>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</si>
  <si>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</si>
  <si>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</si>
  <si>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</si>
  <si>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</si>
  <si>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</si>
  <si>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</si>
  <si>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</si>
  <si>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</si>
  <si>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</si>
  <si>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</si>
  <si>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</si>
  <si>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</si>
  <si>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</si>
  <si>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</si>
  <si>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</si>
  <si>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</si>
  <si>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</si>
  <si>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</si>
  <si>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</si>
  <si>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</si>
  <si>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</si>
  <si>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</si>
  <si>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</si>
  <si>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</si>
  <si>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</si>
  <si>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</si>
  <si>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</si>
  <si>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</si>
  <si>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</si>
  <si>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</si>
  <si>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</si>
  <si>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</si>
  <si>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</si>
  <si>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</si>
  <si>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</si>
  <si>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</si>
  <si>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</si>
  <si>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</si>
  <si>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</si>
  <si>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</si>
  <si>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</si>
  <si>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</si>
  <si>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</si>
  <si>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</si>
  <si>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</si>
  <si>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</si>
  <si>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</si>
  <si>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</si>
  <si>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</si>
  <si>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</si>
  <si>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</si>
  <si>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</si>
  <si>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</si>
  <si>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</si>
  <si>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</si>
  <si>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</si>
  <si>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</si>
  <si>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</si>
  <si>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</si>
  <si>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</si>
  <si>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</si>
  <si>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</si>
  <si>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</si>
  <si>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</si>
  <si>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</si>
  <si>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</si>
  <si>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</si>
  <si>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</si>
  <si>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</si>
  <si>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</si>
  <si>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</si>
  <si>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</si>
  <si>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</si>
  <si>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</si>
  <si>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</si>
  <si>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</si>
  <si>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</si>
  <si>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</si>
  <si>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</si>
  <si>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</si>
  <si>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</si>
  <si>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</si>
  <si>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</si>
  <si>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</si>
  <si>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</si>
  <si>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</si>
  <si>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</si>
  <si>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</si>
  <si>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</si>
  <si>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</si>
  <si>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</si>
  <si>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</si>
  <si>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</si>
  <si>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</si>
  <si>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</si>
  <si>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</si>
  <si>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</si>
  <si>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</si>
  <si>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</si>
  <si>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</si>
  <si>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</si>
  <si>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</si>
  <si>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</si>
  <si>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</si>
  <si>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</si>
  <si>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</si>
  <si>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</si>
  <si>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</si>
  <si>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</si>
  <si>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</si>
  <si>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</si>
  <si>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</si>
  <si>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</si>
  <si>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</si>
  <si>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</si>
  <si>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</si>
  <si>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</si>
  <si>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</si>
  <si>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</si>
  <si>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</si>
  <si>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</si>
  <si>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</si>
  <si>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</si>
  <si>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</si>
  <si>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</si>
  <si>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</si>
  <si>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</si>
  <si>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</si>
  <si>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</si>
  <si>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</si>
  <si>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</si>
  <si>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</si>
  <si>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</si>
  <si>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</si>
  <si>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</si>
  <si>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</si>
  <si>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</si>
  <si>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</si>
  <si>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</si>
  <si>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</si>
  <si>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</si>
  <si>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</si>
  <si>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</si>
  <si>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</si>
  <si>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</si>
  <si>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</si>
  <si>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</si>
  <si>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</si>
  <si>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</si>
  <si>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</si>
  <si>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</si>
  <si>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</si>
  <si>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</si>
  <si>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</si>
  <si>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</si>
  <si>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</si>
  <si>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</si>
  <si>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</si>
  <si>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</si>
  <si>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</si>
  <si>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</si>
  <si>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</si>
  <si>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</si>
  <si>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</si>
  <si>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</si>
  <si>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</si>
  <si>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</si>
  <si>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</si>
  <si>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</si>
  <si>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</si>
  <si>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</si>
  <si>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</si>
  <si>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</si>
  <si>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</si>
  <si>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</si>
  <si>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</si>
  <si>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</si>
  <si>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</si>
  <si>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</si>
  <si>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</si>
  <si>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</si>
  <si>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</si>
  <si>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</si>
  <si>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</si>
  <si>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</si>
  <si>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</si>
  <si>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</si>
  <si>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</si>
  <si>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</si>
  <si>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</si>
  <si>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</si>
  <si>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</si>
  <si>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</si>
  <si>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</si>
  <si>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</si>
  <si>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</si>
  <si>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</si>
  <si>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</si>
  <si>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</si>
  <si>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</si>
  <si>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</si>
  <si>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</si>
  <si>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</si>
  <si>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</si>
  <si>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</si>
  <si>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</si>
  <si>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</si>
  <si>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</si>
  <si>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</si>
  <si>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</si>
  <si>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</si>
  <si>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</si>
  <si>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</si>
  <si>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</si>
  <si>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</si>
  <si>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</si>
  <si>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</si>
  <si>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</si>
  <si>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</si>
  <si>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</si>
  <si>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</si>
  <si>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</si>
  <si>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</si>
  <si>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</si>
  <si>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</si>
  <si>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</si>
  <si>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</si>
  <si>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</si>
  <si>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</si>
  <si>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</si>
  <si>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</si>
  <si>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</si>
  <si>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</si>
  <si>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</si>
  <si>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</si>
  <si>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</si>
  <si>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</si>
  <si>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</si>
  <si>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</si>
  <si>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</si>
  <si>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</si>
  <si>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</si>
  <si>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</si>
  <si>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</si>
  <si>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</si>
  <si>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</si>
  <si>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</si>
  <si>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</si>
  <si>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</si>
  <si>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</si>
  <si>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</si>
  <si>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</si>
  <si>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</si>
  <si>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</si>
  <si>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</si>
  <si>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</si>
  <si>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</si>
  <si>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</si>
  <si>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</si>
  <si>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</si>
  <si>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</si>
  <si>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</si>
  <si>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</si>
  <si>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</si>
  <si>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</si>
  <si>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</si>
  <si>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</si>
  <si>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</si>
  <si>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</si>
  <si>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</si>
  <si>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</si>
  <si>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</si>
  <si>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</si>
  <si>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</si>
  <si>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</si>
  <si>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</si>
  <si>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</si>
  <si>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</si>
  <si>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</si>
  <si>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</si>
  <si>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</si>
  <si>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</si>
  <si>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</si>
  <si>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</si>
  <si>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</si>
  <si>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</si>
  <si>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</si>
  <si>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</si>
  <si>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</si>
  <si>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</si>
  <si>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</si>
  <si>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</si>
  <si>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</si>
  <si>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</si>
  <si>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</si>
  <si>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</si>
  <si>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</si>
  <si>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</si>
  <si>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</si>
  <si>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</si>
  <si>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</si>
  <si>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</si>
  <si>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</si>
  <si>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</si>
  <si>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</si>
  <si>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</si>
  <si>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</si>
  <si>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</si>
  <si>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</si>
  <si>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</si>
  <si>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</si>
  <si>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</si>
  <si>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</si>
  <si>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</si>
  <si>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</si>
  <si>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</si>
  <si>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</si>
  <si>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</si>
  <si>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</si>
  <si>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</si>
  <si>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</si>
  <si>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</si>
  <si>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</si>
  <si>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</si>
  <si>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</si>
  <si>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</si>
  <si>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</si>
  <si>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</si>
  <si>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</si>
  <si>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</si>
  <si>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</si>
  <si>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</si>
  <si>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</si>
  <si>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</si>
  <si>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</si>
  <si>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</si>
  <si>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</si>
  <si>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</si>
  <si>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</si>
  <si>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</si>
  <si>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</si>
  <si>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</si>
  <si>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</si>
  <si>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</si>
  <si>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</si>
  <si>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</si>
  <si>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</si>
  <si>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</si>
  <si>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</si>
  <si>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</si>
  <si>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</si>
  <si>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</si>
  <si>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</si>
  <si>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</si>
  <si>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</si>
  <si>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</si>
  <si>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</si>
  <si>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</si>
  <si>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</si>
  <si>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</si>
  <si>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</si>
  <si>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</si>
  <si>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</si>
  <si>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</si>
  <si>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</si>
  <si>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</si>
  <si>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</si>
  <si>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</si>
  <si>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</si>
  <si>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</si>
  <si>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</si>
  <si>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</si>
  <si>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</si>
  <si>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</si>
  <si>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</si>
  <si>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</si>
  <si>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</si>
  <si>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</si>
  <si>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</si>
  <si>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</si>
  <si>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</si>
  <si>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</si>
  <si>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</si>
  <si>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</si>
  <si>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</si>
  <si>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</si>
  <si>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</si>
  <si>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</si>
  <si>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</si>
  <si>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</si>
  <si>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</si>
  <si>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</si>
  <si>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</si>
  <si>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</si>
  <si>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</si>
  <si>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</si>
  <si>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</si>
  <si>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</si>
  <si>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</si>
  <si>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</si>
  <si>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</si>
  <si>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</si>
  <si>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</si>
  <si>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</si>
  <si>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</si>
  <si>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</si>
  <si>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</si>
  <si>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</si>
  <si>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</si>
  <si>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</si>
  <si>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</si>
  <si>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</si>
  <si>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</si>
  <si>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</si>
  <si>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</si>
  <si>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</si>
  <si>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</si>
  <si>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</si>
  <si>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</si>
  <si>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</si>
  <si>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</si>
  <si>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</si>
  <si>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</si>
  <si>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</si>
  <si>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</si>
  <si>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</si>
  <si>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</si>
  <si>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</si>
  <si>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</si>
  <si>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</si>
  <si>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</si>
  <si>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</si>
  <si>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</si>
  <si>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</si>
  <si>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</si>
  <si>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</si>
  <si>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</si>
  <si>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</si>
  <si>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</si>
  <si>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</si>
  <si>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</si>
  <si>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</si>
  <si>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</si>
  <si>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</si>
  <si>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</si>
  <si>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</si>
  <si>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</si>
  <si>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</si>
  <si>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</si>
  <si>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</si>
  <si>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</si>
  <si>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</si>
  <si>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</si>
  <si>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</si>
  <si>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</si>
  <si>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</si>
  <si>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</si>
  <si>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</si>
  <si>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</si>
  <si>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</si>
  <si>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</si>
  <si>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</si>
  <si>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</si>
  <si>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</si>
  <si>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</si>
  <si>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</si>
  <si>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</si>
  <si>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</si>
  <si>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</si>
  <si>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</si>
  <si>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</si>
  <si>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</si>
  <si>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</si>
  <si>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</si>
  <si>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</si>
  <si>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</si>
  <si>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</si>
  <si>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</si>
  <si>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</si>
  <si>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</si>
  <si>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</si>
  <si>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</si>
  <si>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</si>
  <si>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</si>
  <si>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</si>
  <si>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</si>
  <si>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</si>
  <si>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</si>
  <si>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</si>
  <si>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</si>
  <si>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</si>
  <si>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</si>
  <si>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</si>
  <si>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</si>
  <si>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</si>
  <si>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</si>
  <si>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</si>
  <si>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</si>
  <si>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</si>
  <si>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</si>
  <si>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</si>
  <si>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</si>
  <si>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</si>
  <si>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</si>
  <si>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</si>
  <si>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</si>
  <si>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</si>
  <si>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</si>
  <si>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</si>
  <si>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</si>
  <si>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</si>
  <si>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</si>
  <si>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</si>
  <si>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</si>
  <si>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</si>
  <si>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</si>
  <si>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</si>
  <si>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</si>
  <si>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</si>
  <si>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</si>
  <si>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</si>
  <si>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</si>
  <si>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</si>
  <si>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</si>
  <si>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</si>
  <si>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</si>
  <si>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</si>
  <si>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</si>
  <si>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</si>
  <si>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</si>
  <si>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</si>
  <si>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</si>
  <si>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</si>
  <si>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</si>
  <si>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</si>
  <si>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</si>
  <si>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</si>
  <si>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</si>
  <si>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</si>
  <si>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</si>
  <si>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</si>
  <si>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</si>
  <si>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</si>
  <si>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</si>
  <si>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</si>
  <si>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</si>
  <si>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</si>
  <si>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</si>
  <si>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</si>
  <si>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</si>
  <si>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</si>
  <si>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</si>
  <si>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</si>
  <si>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</si>
  <si>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</si>
  <si>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</si>
  <si>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</si>
  <si>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</si>
  <si>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</si>
  <si>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</si>
  <si>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</si>
  <si>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</si>
  <si>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</si>
  <si>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</si>
  <si>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</si>
  <si>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</si>
  <si>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</si>
  <si>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</si>
  <si>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</si>
  <si>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</si>
  <si>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</si>
  <si>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</si>
  <si>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</si>
  <si>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</si>
  <si>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</si>
  <si>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</si>
  <si>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</si>
  <si>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</si>
  <si>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</si>
  <si>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</si>
  <si>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</si>
  <si>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</si>
  <si>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</si>
  <si>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</si>
  <si>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</si>
  <si>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</si>
  <si>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</si>
  <si>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</si>
  <si>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</si>
  <si>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</si>
  <si>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</si>
  <si>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</si>
  <si>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</si>
  <si>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</si>
  <si>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</si>
  <si>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</si>
  <si>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</si>
  <si>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</si>
  <si>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</si>
  <si>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</si>
  <si>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</si>
  <si>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</si>
  <si>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</si>
  <si>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</si>
  <si>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</si>
  <si>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</si>
  <si>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</si>
  <si>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</si>
  <si>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</si>
  <si>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</si>
  <si>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</si>
  <si>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</si>
  <si>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</si>
  <si>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</si>
  <si>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</si>
  <si>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</si>
  <si>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</si>
  <si>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</si>
  <si>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</si>
  <si>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</si>
  <si>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</si>
  <si>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</si>
  <si>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</si>
  <si>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</si>
  <si>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</si>
  <si>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</si>
  <si>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</si>
  <si>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</si>
  <si>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</si>
  <si>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</si>
  <si>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</si>
  <si>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</si>
  <si>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</si>
  <si>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</si>
  <si>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</si>
  <si>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</si>
  <si>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</si>
  <si>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</si>
  <si>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</si>
  <si>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</si>
  <si>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</si>
  <si>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</si>
  <si>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</si>
  <si>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</si>
  <si>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</si>
  <si>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</si>
  <si>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</si>
  <si>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</si>
  <si>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</si>
  <si>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</si>
  <si>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</si>
  <si>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</si>
  <si>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</si>
  <si>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</si>
  <si>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</si>
  <si>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</si>
  <si>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</si>
  <si>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</si>
  <si>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</si>
  <si>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</si>
  <si>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</si>
  <si>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</si>
  <si>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</si>
  <si>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</si>
  <si>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</si>
  <si>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</si>
  <si>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</si>
  <si>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</si>
  <si>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</si>
  <si>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</si>
  <si>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</si>
  <si>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</si>
  <si>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</si>
  <si>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</si>
  <si>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</si>
  <si>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</si>
  <si>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</si>
  <si>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</si>
  <si>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</si>
  <si>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</si>
  <si>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</si>
  <si>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</si>
  <si>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</si>
  <si>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</si>
  <si>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</si>
  <si>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</si>
  <si>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</si>
  <si>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</si>
  <si>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</si>
  <si>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</si>
  <si>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</si>
  <si>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</si>
  <si>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</si>
  <si>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</si>
  <si>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</si>
  <si>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</si>
  <si>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</si>
  <si>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</si>
  <si>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</si>
  <si>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</si>
  <si>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</si>
  <si>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</si>
  <si>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</si>
  <si>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</si>
  <si>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</si>
  <si>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</si>
  <si>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</si>
  <si>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</si>
  <si>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</si>
  <si>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</si>
  <si>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</si>
  <si>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</si>
  <si>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</si>
  <si>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</si>
  <si>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</si>
  <si>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</si>
  <si>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</si>
  <si>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</si>
  <si>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</si>
  <si>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</si>
  <si>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</si>
  <si>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</si>
  <si>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</si>
  <si>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</si>
  <si>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</si>
  <si>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</si>
  <si>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</si>
  <si>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</si>
  <si>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</si>
  <si>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</si>
  <si>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</si>
  <si>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</si>
  <si>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</si>
  <si>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</si>
  <si>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</si>
  <si>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</si>
  <si>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</si>
  <si>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</si>
  <si>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</si>
  <si>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</si>
  <si>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</si>
  <si>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</si>
  <si>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</si>
  <si>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</si>
  <si>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</si>
  <si>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</si>
  <si>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</si>
  <si>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</si>
  <si>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</si>
  <si>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</si>
  <si>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</si>
  <si>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</si>
  <si>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</si>
  <si>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</si>
  <si>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</si>
  <si>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</si>
  <si>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</si>
  <si>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</si>
  <si>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</si>
  <si>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</si>
  <si>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</si>
  <si>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</si>
  <si>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</si>
  <si>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</si>
  <si>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</si>
  <si>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</si>
  <si>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</si>
  <si>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</si>
  <si>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</si>
  <si>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</si>
  <si>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</si>
  <si>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</si>
  <si>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</si>
  <si>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</si>
  <si>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</si>
  <si>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</si>
  <si>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</si>
  <si>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</si>
  <si>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</si>
  <si>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</si>
  <si>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</si>
  <si>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</si>
  <si>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</si>
  <si>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</si>
  <si>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</si>
  <si>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</si>
  <si>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</si>
  <si>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</si>
  <si>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</si>
  <si>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</si>
  <si>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</si>
  <si>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</si>
  <si>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</si>
  <si>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</si>
  <si>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</si>
  <si>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</si>
  <si>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</si>
  <si>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</si>
  <si>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</si>
  <si>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</si>
  <si>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</si>
  <si>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</si>
  <si>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</si>
  <si>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</si>
  <si>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</si>
  <si>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</si>
  <si>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</si>
  <si>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</si>
  <si>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</si>
  <si>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</si>
  <si>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</si>
  <si>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</si>
  <si>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</si>
  <si>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</si>
  <si>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</si>
  <si>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</si>
  <si>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</si>
  <si>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</si>
  <si>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</si>
  <si>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</si>
  <si>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</si>
  <si>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</si>
  <si>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</si>
  <si>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</si>
  <si>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</si>
  <si>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</si>
  <si>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</si>
  <si>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</si>
  <si>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</si>
  <si>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</si>
  <si>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</si>
  <si>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</si>
  <si>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</si>
  <si>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</si>
  <si>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</si>
  <si>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</si>
  <si>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</si>
  <si>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</si>
  <si>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</si>
  <si>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</si>
  <si>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</si>
  <si>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</si>
  <si>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</si>
  <si>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</si>
  <si>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</si>
  <si>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</si>
  <si>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</si>
  <si>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</si>
  <si>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</si>
  <si>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</si>
  <si>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</si>
  <si>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</si>
  <si>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</si>
  <si>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</si>
  <si>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</si>
  <si>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</si>
  <si>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</si>
  <si>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</si>
  <si>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</si>
  <si>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</si>
  <si>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</si>
  <si>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</si>
  <si>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</si>
  <si>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</si>
  <si>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</si>
  <si>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</si>
  <si>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</si>
  <si>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</si>
  <si>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</si>
  <si>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</si>
  <si>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</si>
  <si>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</si>
  <si>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</si>
  <si>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</si>
  <si>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</si>
  <si>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</si>
  <si>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</si>
  <si>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</si>
  <si>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</si>
  <si>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</si>
  <si>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</si>
  <si>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</si>
  <si>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</si>
  <si>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</si>
  <si>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</si>
  <si>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</si>
  <si>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</si>
  <si>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</si>
  <si>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</si>
  <si>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</si>
  <si>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</si>
  <si>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</si>
  <si>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</si>
  <si>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</si>
  <si>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</si>
  <si>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</si>
  <si>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</si>
  <si>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</si>
  <si>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</si>
  <si>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</si>
  <si>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</si>
  <si>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</si>
  <si>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</si>
  <si>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</si>
  <si>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</si>
  <si>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</si>
  <si>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</si>
  <si>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</si>
  <si>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</si>
  <si>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</si>
  <si>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</si>
  <si>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</si>
  <si>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</si>
  <si>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</si>
  <si>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</si>
  <si>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</si>
  <si>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</si>
  <si>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</si>
  <si>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</si>
  <si>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</si>
  <si>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</si>
  <si>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</si>
  <si>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</si>
  <si>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</si>
  <si>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</si>
  <si>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</si>
  <si>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</si>
  <si>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</si>
  <si>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</si>
  <si>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</si>
  <si>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</si>
  <si>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</si>
  <si>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</si>
  <si>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</si>
  <si>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</si>
  <si>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</si>
  <si>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</si>
  <si>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</si>
  <si>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</si>
  <si>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</si>
  <si>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</si>
  <si>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</si>
  <si>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</si>
  <si>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</si>
  <si>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</si>
  <si>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</si>
  <si>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</si>
  <si>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</si>
  <si>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</si>
  <si>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</si>
  <si>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</si>
  <si>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</si>
  <si>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</si>
  <si>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</si>
  <si>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</si>
  <si>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</si>
  <si>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</si>
  <si>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</si>
  <si>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</si>
  <si>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</si>
  <si>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</si>
  <si>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</si>
  <si>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</si>
  <si>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</si>
  <si>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</si>
  <si>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</si>
  <si>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</si>
  <si>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</si>
  <si>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</si>
  <si>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</si>
  <si>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</si>
  <si>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</si>
  <si>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</si>
  <si>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</si>
  <si>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</si>
  <si>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</si>
  <si>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</si>
  <si>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</si>
  <si>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</si>
  <si>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</si>
  <si>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</si>
  <si>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</si>
  <si>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</si>
  <si>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</si>
  <si>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</si>
  <si>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</si>
  <si>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</si>
  <si>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</si>
  <si>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</si>
  <si>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</si>
  <si>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</si>
  <si>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</si>
  <si>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</si>
  <si>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</si>
  <si>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</si>
  <si>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</si>
  <si>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</si>
  <si>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</si>
  <si>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</si>
  <si>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</si>
  <si>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</si>
  <si>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</si>
  <si>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</si>
  <si>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</si>
  <si>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</si>
  <si>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</si>
  <si>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</si>
  <si>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</si>
  <si>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</si>
  <si>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</si>
  <si>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</si>
  <si>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</si>
  <si>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</si>
  <si>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</si>
  <si>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</si>
  <si>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</si>
  <si>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</si>
  <si>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</si>
  <si>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</si>
  <si>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</si>
  <si>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</si>
  <si>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</si>
  <si>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</si>
  <si>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</si>
  <si>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</si>
  <si>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</si>
  <si>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</si>
  <si>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</si>
  <si>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</si>
  <si>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</si>
  <si>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</si>
  <si>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</si>
  <si>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</si>
  <si>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</si>
  <si>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</si>
  <si>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</si>
  <si>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</si>
  <si>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</si>
  <si>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</si>
  <si>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</si>
  <si>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</si>
  <si>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</si>
  <si>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</si>
  <si>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</si>
  <si>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</si>
  <si>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</si>
  <si>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</si>
  <si>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</si>
  <si>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</si>
  <si>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</si>
  <si>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</si>
  <si>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</si>
  <si>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</si>
  <si>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</si>
  <si>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</si>
  <si>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</si>
  <si>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</si>
  <si>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</si>
  <si>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</si>
  <si>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</si>
  <si>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</si>
  <si>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</si>
  <si>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</si>
  <si>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</si>
  <si>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</si>
  <si>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</si>
  <si>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</si>
  <si>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</si>
  <si>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</si>
  <si>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</si>
  <si>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</si>
  <si>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</si>
  <si>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</si>
  <si>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</si>
  <si>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</si>
  <si>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</si>
  <si>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</si>
  <si>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</si>
  <si>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</si>
  <si>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</si>
  <si>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</si>
  <si>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</si>
  <si>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</si>
  <si>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</si>
  <si>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</si>
  <si>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</si>
  <si>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</si>
  <si>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</si>
  <si>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</si>
  <si>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</si>
  <si>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</si>
  <si>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</si>
  <si>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</si>
  <si>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</si>
  <si>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</si>
  <si>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</si>
  <si>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</si>
  <si>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</si>
  <si>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</si>
  <si>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</si>
  <si>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</si>
  <si>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</si>
  <si>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</si>
  <si>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</si>
  <si>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</si>
  <si>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</si>
  <si>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</si>
  <si>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</si>
  <si>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</si>
  <si>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</si>
  <si>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</si>
  <si>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</si>
  <si>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</si>
  <si>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</si>
  <si>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</si>
  <si>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</si>
  <si>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</si>
  <si>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</si>
  <si>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</si>
  <si>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</si>
  <si>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</si>
  <si>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</si>
  <si>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</si>
  <si>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</si>
  <si>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</si>
  <si>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</si>
  <si>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</si>
  <si>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</si>
  <si>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</si>
  <si>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</si>
  <si>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</si>
  <si>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</si>
  <si>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</si>
  <si>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</si>
  <si>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</si>
  <si>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</si>
  <si>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</si>
  <si>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</si>
  <si>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</si>
  <si>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</si>
  <si>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</si>
  <si>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</si>
  <si>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</si>
  <si>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</si>
  <si>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</si>
  <si>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</si>
  <si>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</si>
  <si>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</si>
  <si>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</si>
  <si>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</si>
  <si>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</si>
  <si>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</si>
  <si>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</si>
  <si>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</si>
  <si>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</si>
  <si>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</si>
  <si>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</si>
  <si>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</si>
  <si>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</si>
  <si>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</si>
  <si>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</si>
  <si>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</si>
  <si>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</si>
  <si>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</si>
  <si>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</si>
  <si>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</si>
  <si>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</si>
  <si>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</si>
  <si>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</si>
  <si>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</si>
  <si>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</si>
  <si>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</si>
  <si>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</si>
  <si>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</si>
  <si>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</si>
  <si>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</si>
  <si>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</si>
  <si>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</si>
  <si>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</si>
  <si>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</si>
  <si>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</si>
  <si>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</si>
  <si>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</si>
  <si>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</si>
  <si>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</si>
  <si>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</si>
  <si>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</si>
  <si>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</si>
  <si>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</si>
  <si>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</si>
  <si>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</si>
  <si>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</si>
  <si>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</si>
  <si>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</si>
  <si>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</si>
  <si>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</si>
  <si>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</si>
  <si>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</si>
  <si>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</si>
  <si>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</si>
  <si>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</si>
  <si>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</si>
  <si>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</si>
  <si>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</si>
  <si>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</si>
  <si>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</si>
  <si>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</si>
  <si>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</si>
  <si>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</si>
  <si>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</si>
  <si>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</si>
  <si>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</si>
  <si>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</si>
  <si>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</si>
  <si>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</si>
  <si>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</si>
  <si>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</si>
  <si>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</si>
  <si>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</si>
  <si>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</si>
  <si>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</si>
  <si>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</si>
  <si>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</si>
  <si>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</si>
  <si>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</si>
  <si>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</si>
  <si>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</si>
  <si>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</si>
  <si>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</si>
  <si>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</si>
  <si>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</si>
  <si>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</si>
  <si>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</si>
  <si>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</si>
  <si>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</si>
  <si>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</si>
  <si>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</si>
  <si>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</si>
  <si>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</si>
  <si>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</si>
  <si>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</si>
  <si>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</si>
  <si>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</si>
  <si>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</si>
  <si>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</si>
  <si>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</si>
  <si>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</si>
  <si>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</si>
  <si>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</si>
  <si>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</si>
  <si>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</si>
  <si>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</si>
  <si>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</si>
  <si>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</si>
  <si>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</si>
  <si>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</si>
  <si>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</si>
  <si>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</si>
  <si>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</si>
  <si>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</si>
  <si>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</si>
  <si>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</si>
  <si>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</si>
  <si>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</si>
  <si>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</si>
  <si>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</si>
  <si>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</si>
  <si>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</si>
  <si>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</si>
  <si>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</si>
  <si>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</si>
  <si>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</si>
  <si>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</si>
  <si>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</si>
  <si>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</si>
  <si>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</si>
  <si>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</si>
  <si>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</si>
  <si>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</si>
  <si>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</si>
  <si>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</si>
  <si>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</si>
  <si>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</si>
  <si>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</si>
  <si>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</si>
  <si>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</si>
  <si>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</si>
  <si>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</si>
  <si>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</si>
  <si>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</si>
  <si>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</si>
  <si>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</si>
  <si>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</si>
  <si>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</si>
  <si>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</si>
  <si>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</si>
  <si>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</si>
  <si>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</si>
  <si>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</si>
  <si>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</si>
  <si>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</si>
  <si>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</si>
  <si>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</si>
  <si>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</si>
  <si>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</si>
  <si>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</si>
  <si>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</si>
  <si>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</si>
  <si>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</si>
  <si>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</si>
  <si>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</si>
  <si>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</si>
  <si>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</si>
  <si>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</si>
  <si>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</si>
  <si>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</si>
  <si>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</si>
  <si>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</si>
  <si>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</si>
  <si>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</si>
  <si>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</si>
  <si>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</si>
  <si>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</si>
  <si>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</si>
  <si>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</si>
  <si>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</si>
  <si>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</si>
  <si>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</si>
  <si>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</si>
  <si>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</si>
  <si>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</si>
  <si>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</si>
  <si>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</si>
  <si>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</si>
  <si>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</si>
  <si>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</si>
  <si>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</si>
  <si>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</si>
  <si>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</si>
  <si>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</si>
  <si>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</si>
  <si>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</si>
  <si>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</si>
  <si>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</si>
  <si>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</si>
  <si>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</si>
  <si>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</si>
  <si>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</si>
  <si>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</si>
  <si>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</si>
  <si>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</si>
  <si>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</si>
  <si>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</si>
  <si>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</si>
  <si>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</si>
  <si>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</si>
  <si>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</si>
  <si>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</si>
  <si>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</si>
  <si>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</si>
  <si>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</si>
  <si>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</si>
  <si>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</si>
  <si>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</si>
  <si>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</si>
  <si>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</si>
  <si>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</si>
  <si>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</si>
  <si>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</si>
  <si>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</si>
  <si>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</si>
  <si>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</si>
  <si>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</si>
  <si>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</si>
  <si>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</si>
  <si>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</si>
  <si>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</si>
  <si>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</si>
  <si>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</si>
  <si>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</si>
  <si>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</si>
  <si>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</si>
  <si>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</si>
  <si>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</si>
  <si>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</si>
  <si>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</si>
  <si>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</si>
  <si>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</si>
  <si>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</si>
  <si>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</si>
  <si>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</si>
  <si>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</si>
  <si>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</si>
  <si>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</si>
  <si>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</si>
  <si>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</si>
  <si>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</si>
  <si>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</si>
  <si>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</si>
  <si>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</si>
  <si>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</si>
  <si>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</si>
  <si>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</si>
  <si>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</si>
  <si>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</si>
  <si>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</si>
  <si>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</si>
  <si>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</si>
  <si>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</si>
  <si>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</si>
  <si>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</si>
  <si>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</si>
  <si>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</si>
  <si>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</si>
  <si>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</si>
  <si>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</si>
  <si>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</si>
  <si>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</si>
  <si>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</si>
  <si>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</si>
  <si>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</si>
  <si>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</si>
  <si>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</si>
  <si>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</si>
  <si>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</si>
  <si>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</si>
  <si>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</si>
  <si>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</si>
  <si>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</si>
  <si>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</si>
  <si>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</si>
  <si>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</si>
  <si>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</si>
  <si>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</si>
  <si>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</si>
  <si>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</si>
  <si>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</si>
  <si>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</si>
  <si>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</si>
  <si>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</si>
  <si>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</si>
  <si>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</si>
  <si>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</si>
  <si>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</si>
  <si>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</si>
  <si>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</si>
  <si>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</si>
  <si>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</si>
  <si>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</si>
  <si>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</si>
  <si>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</si>
  <si>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</si>
  <si>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</si>
  <si>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</si>
  <si>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</si>
  <si>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</si>
  <si>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</si>
  <si>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</si>
  <si>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</si>
  <si>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</si>
  <si>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</si>
  <si>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</si>
  <si>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</si>
  <si>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</si>
  <si>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</si>
  <si>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</si>
  <si>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</si>
  <si>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</si>
  <si>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</si>
  <si>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</si>
  <si>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</si>
  <si>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</si>
  <si>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</si>
  <si>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</si>
  <si>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</si>
  <si>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</si>
  <si>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</si>
  <si>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</si>
  <si>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</si>
  <si>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</si>
  <si>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</si>
  <si>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</si>
  <si>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</si>
  <si>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</si>
  <si>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</si>
  <si>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</si>
  <si>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</si>
  <si>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</si>
  <si>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</si>
  <si>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</si>
  <si>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</si>
  <si>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</si>
  <si>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</si>
  <si>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</si>
  <si>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</si>
  <si>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</si>
  <si>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</si>
  <si>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</si>
  <si>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</si>
  <si>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</si>
  <si>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</si>
  <si>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</si>
  <si>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</si>
  <si>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</si>
  <si>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</si>
  <si>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</si>
  <si>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</si>
  <si>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</si>
  <si>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</si>
  <si>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</si>
  <si>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</si>
  <si>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</si>
  <si>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</si>
  <si>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</si>
  <si>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</si>
  <si>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</si>
  <si>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</si>
  <si>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</si>
  <si>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</si>
  <si>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</si>
  <si>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</si>
  <si>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</si>
  <si>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</si>
  <si>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</si>
  <si>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</si>
  <si>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</si>
  <si>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</si>
  <si>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</si>
  <si>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</si>
  <si>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</si>
  <si>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</si>
  <si>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</si>
  <si>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</si>
  <si>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</si>
  <si>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</si>
  <si>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</si>
  <si>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</si>
  <si>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</si>
  <si>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</si>
  <si>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</si>
  <si>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</si>
  <si>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</si>
  <si>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</si>
  <si>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</si>
  <si>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</si>
  <si>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</si>
  <si>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</si>
  <si>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</si>
  <si>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</si>
  <si>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</si>
  <si>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</si>
  <si>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</si>
  <si>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</si>
  <si>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</si>
  <si>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</si>
  <si>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</si>
  <si>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</si>
  <si>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</si>
  <si>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</si>
  <si>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</si>
  <si>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</si>
  <si>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</si>
  <si>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</si>
  <si>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</si>
  <si>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</si>
  <si>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</si>
  <si>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</si>
  <si>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</si>
  <si>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</si>
  <si>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</si>
  <si>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</si>
  <si>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</si>
  <si>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</si>
  <si>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</si>
  <si>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</si>
  <si>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</si>
  <si>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</si>
  <si>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</si>
  <si>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</si>
  <si>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</si>
  <si>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</si>
  <si>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</si>
  <si>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</si>
  <si>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</si>
  <si>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</si>
  <si>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</si>
  <si>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</si>
  <si>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</si>
  <si>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</si>
  <si>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</si>
  <si>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</si>
  <si>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</si>
  <si>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</si>
  <si>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</si>
  <si>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</si>
  <si>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</si>
  <si>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</si>
  <si>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</si>
  <si>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</si>
  <si>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</si>
  <si>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</si>
  <si>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</si>
  <si>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</si>
  <si>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</si>
  <si>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</si>
  <si>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</si>
  <si>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</si>
  <si>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</si>
  <si>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</si>
  <si>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</si>
  <si>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</si>
  <si>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</si>
  <si>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</si>
  <si>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</si>
  <si>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</si>
  <si>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</si>
  <si>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</si>
  <si>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</si>
  <si>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</si>
  <si>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</si>
  <si>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</si>
  <si>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</si>
  <si>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</si>
  <si>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</si>
  <si>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</si>
  <si>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</si>
  <si>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</si>
  <si>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</si>
  <si>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</si>
  <si>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</si>
  <si>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</si>
  <si>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</si>
  <si>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</si>
  <si>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</si>
  <si>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</si>
  <si>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</si>
  <si>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</si>
  <si>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</si>
  <si>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</si>
  <si>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</si>
  <si>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</si>
  <si>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</si>
  <si>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</si>
  <si>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</si>
  <si>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</si>
  <si>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</si>
  <si>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</si>
  <si>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</si>
  <si>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</si>
  <si>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</si>
  <si>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</si>
  <si>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</si>
  <si>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</si>
  <si>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</si>
  <si>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</si>
  <si>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</si>
  <si>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</si>
  <si>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</si>
  <si>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</si>
  <si>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</si>
  <si>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</si>
  <si>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</si>
  <si>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</si>
  <si>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</si>
  <si>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</si>
  <si>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</si>
  <si>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</si>
  <si>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</si>
  <si>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</si>
  <si>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</si>
  <si>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</si>
  <si>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</si>
  <si>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</si>
  <si>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</si>
  <si>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</si>
  <si>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</si>
  <si>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</si>
  <si>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</si>
  <si>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</si>
  <si>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</si>
  <si>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</si>
  <si>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</si>
  <si>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</si>
  <si>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</si>
  <si>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</si>
  <si>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</si>
  <si>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</si>
  <si>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</si>
  <si>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</si>
  <si>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</si>
  <si>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</si>
  <si>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</si>
  <si>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</si>
  <si>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</si>
  <si>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</si>
  <si>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</si>
  <si>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</si>
  <si>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</si>
  <si>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</si>
  <si>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</si>
  <si>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</si>
  <si>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</si>
  <si>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</si>
  <si>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</si>
  <si>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</si>
  <si>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</si>
  <si>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</si>
  <si>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</si>
  <si>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</si>
  <si>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</si>
  <si>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</si>
  <si>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</si>
  <si>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</si>
  <si>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</si>
  <si>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</si>
  <si>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</si>
  <si>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</si>
  <si>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</si>
  <si>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</si>
  <si>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</si>
  <si>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</si>
  <si>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</si>
  <si>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</si>
  <si>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</si>
  <si>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</si>
  <si>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</si>
  <si>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</si>
  <si>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</si>
  <si>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</si>
  <si>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</si>
  <si>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</si>
  <si>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</si>
  <si>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</si>
  <si>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</si>
  <si>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</si>
  <si>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</si>
  <si>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</si>
  <si>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</si>
  <si>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</si>
  <si>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</si>
  <si>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</si>
  <si>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</si>
  <si>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</si>
  <si>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</si>
  <si>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</si>
  <si>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</si>
  <si>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</si>
  <si>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</si>
  <si>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</si>
  <si>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</si>
  <si>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</si>
  <si>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</si>
  <si>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</si>
  <si>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</si>
  <si>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</si>
  <si>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</si>
  <si>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</si>
  <si>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</si>
  <si>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</si>
  <si>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</si>
  <si>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</si>
  <si>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</si>
  <si>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</si>
  <si>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</si>
  <si>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</si>
  <si>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</si>
  <si>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</si>
  <si>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</si>
  <si>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</si>
  <si>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</si>
  <si>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</si>
  <si>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</si>
  <si>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</si>
  <si>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</si>
  <si>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</si>
  <si>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</si>
  <si>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</si>
  <si>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</si>
  <si>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</si>
  <si>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</si>
  <si>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</si>
  <si>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</si>
  <si>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</si>
  <si>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</si>
  <si>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</si>
  <si>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</si>
  <si>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</si>
  <si>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</si>
  <si>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</si>
  <si>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</si>
  <si>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</si>
  <si>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</si>
  <si>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</si>
  <si>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</si>
  <si>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</si>
  <si>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</si>
  <si>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</si>
  <si>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</si>
  <si>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</si>
  <si>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</si>
  <si>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</si>
  <si>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</si>
  <si>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</si>
  <si>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</si>
  <si>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</si>
  <si>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</si>
  <si>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</si>
  <si>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</si>
  <si>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</si>
  <si>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</si>
  <si>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</si>
  <si>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</si>
  <si>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</si>
  <si>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</si>
  <si>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</si>
  <si>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</si>
  <si>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</si>
  <si>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</si>
  <si>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</si>
  <si>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</si>
  <si>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</si>
  <si>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</si>
  <si>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</si>
  <si>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</si>
  <si>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</si>
  <si>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</si>
  <si>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</si>
  <si>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</si>
  <si>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</si>
  <si>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</si>
  <si>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</si>
  <si>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</si>
  <si>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</si>
  <si>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</si>
  <si>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</si>
  <si>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</si>
  <si>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</si>
  <si>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</si>
  <si>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</si>
  <si>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</si>
  <si>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</si>
  <si>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</si>
  <si>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</si>
  <si>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</si>
  <si>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</si>
  <si>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</si>
  <si>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</si>
  <si>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</si>
  <si>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</si>
  <si>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</si>
  <si>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</si>
  <si>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</si>
  <si>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</si>
  <si>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</si>
  <si>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</si>
  <si>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</si>
  <si>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</si>
  <si>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</si>
  <si>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</si>
  <si>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</si>
  <si>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</si>
  <si>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</si>
  <si>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</si>
  <si>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</si>
  <si>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</si>
  <si>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</si>
  <si>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</si>
  <si>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</si>
  <si>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</si>
  <si>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</si>
  <si>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</si>
  <si>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</si>
  <si>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</si>
  <si>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</si>
  <si>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</si>
  <si>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</si>
  <si>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</si>
  <si>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</si>
  <si>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</si>
  <si>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</si>
  <si>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</si>
  <si>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</si>
  <si>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</si>
  <si>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</si>
  <si>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</si>
  <si>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</si>
  <si>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</si>
  <si>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</si>
  <si>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</si>
  <si>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</si>
  <si>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</si>
  <si>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</si>
  <si>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</si>
  <si>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</si>
  <si>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</si>
  <si>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</si>
  <si>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</si>
  <si>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</si>
  <si>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</si>
  <si>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</si>
  <si>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</si>
  <si>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</si>
  <si>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</si>
  <si>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</si>
  <si>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</si>
  <si>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</si>
  <si>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</si>
  <si>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</si>
  <si>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</si>
  <si>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</si>
  <si>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</si>
  <si>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</si>
  <si>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</si>
  <si>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</si>
  <si>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</si>
  <si>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</si>
  <si>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</si>
  <si>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</si>
  <si>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</si>
  <si>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</si>
  <si>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</si>
  <si>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</si>
  <si>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</si>
  <si>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</si>
  <si>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</si>
  <si>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</si>
  <si>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</si>
  <si>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</si>
  <si>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</si>
  <si>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</si>
  <si>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</si>
  <si>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</si>
  <si>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</si>
  <si>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</si>
  <si>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</si>
  <si>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</si>
  <si>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</si>
  <si>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</si>
  <si>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</si>
  <si>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</si>
  <si>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</si>
  <si>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</si>
  <si>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</si>
  <si>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</si>
  <si>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</si>
  <si>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</si>
  <si>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</si>
  <si>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</si>
  <si>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</si>
  <si>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</si>
  <si>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</si>
  <si>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</si>
  <si>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</si>
  <si>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</si>
  <si>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</si>
  <si>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</si>
  <si>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</si>
  <si>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</si>
  <si>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</si>
  <si>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</si>
  <si>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</si>
  <si>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</si>
  <si>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</si>
  <si>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</si>
  <si>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</si>
  <si>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</si>
  <si>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</si>
  <si>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</si>
  <si>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</si>
  <si>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</si>
  <si>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</si>
  <si>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</si>
  <si>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</si>
  <si>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</si>
  <si>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</si>
  <si>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</si>
  <si>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</si>
  <si>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</si>
  <si>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</si>
  <si>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</si>
  <si>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</si>
  <si>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</si>
  <si>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</si>
  <si>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</si>
  <si>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</si>
  <si>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</si>
  <si>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</si>
  <si>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</si>
  <si>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</si>
  <si>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</si>
  <si>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</si>
  <si>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</si>
  <si>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</si>
  <si>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</si>
  <si>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</si>
  <si>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</si>
  <si>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</si>
  <si>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</si>
  <si>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</si>
  <si>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</si>
  <si>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</si>
  <si>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</si>
  <si>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</si>
  <si>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</si>
  <si>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</si>
  <si>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</si>
  <si>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</si>
  <si>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</si>
  <si>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</si>
  <si>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</si>
  <si>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</si>
  <si>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</si>
  <si>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</si>
  <si>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</si>
  <si>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</si>
  <si>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</si>
  <si>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</si>
  <si>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</si>
  <si>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</si>
  <si>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</si>
  <si>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</si>
  <si>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</si>
  <si>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</si>
  <si>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</si>
  <si>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</si>
  <si>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</si>
  <si>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</si>
  <si>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</si>
  <si>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</si>
  <si>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</si>
  <si>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</si>
  <si>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</si>
  <si>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</si>
  <si>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</si>
  <si>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</si>
  <si>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</si>
  <si>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</si>
  <si>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</si>
  <si>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</si>
  <si>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</si>
  <si>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</si>
  <si>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</si>
  <si>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</si>
  <si>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</si>
  <si>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</si>
  <si>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</si>
  <si>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</si>
  <si>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</si>
  <si>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</si>
  <si>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</si>
  <si>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</si>
  <si>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</si>
  <si>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</si>
  <si>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</si>
  <si>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</si>
  <si>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</si>
  <si>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</si>
  <si>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</si>
  <si>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</si>
  <si>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</si>
  <si>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</si>
  <si>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</si>
  <si>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</si>
  <si>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</si>
  <si>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</si>
  <si>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</si>
  <si>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</si>
  <si>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</si>
  <si>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</si>
  <si>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</si>
  <si>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</si>
  <si>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</si>
  <si>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</si>
  <si>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</si>
  <si>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</si>
  <si>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</si>
  <si>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</si>
  <si>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</si>
  <si>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</si>
  <si>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</si>
  <si>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</si>
  <si>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</si>
  <si>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</si>
  <si>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</si>
  <si>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</si>
  <si>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</si>
  <si>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</si>
  <si>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</si>
  <si>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</si>
  <si>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</si>
  <si>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</si>
  <si>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</si>
  <si>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</si>
  <si>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</si>
  <si>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</si>
  <si>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</si>
  <si>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</si>
  <si>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</si>
  <si>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</si>
  <si>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</si>
  <si>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</si>
  <si>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</si>
  <si>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</si>
  <si>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</si>
  <si>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</si>
  <si>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</si>
  <si>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</si>
  <si>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</si>
  <si>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</si>
  <si>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</si>
  <si>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</si>
  <si>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</si>
  <si>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</si>
  <si>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</si>
  <si>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</si>
  <si>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</si>
  <si>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</si>
  <si>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</si>
  <si>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</si>
  <si>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</si>
  <si>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</si>
  <si>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</si>
  <si>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</si>
  <si>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</si>
  <si>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</si>
  <si>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</si>
  <si>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</si>
  <si>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</si>
  <si>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</si>
  <si>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</si>
  <si>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</si>
  <si>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</si>
  <si>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</si>
  <si>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</si>
  <si>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</si>
  <si>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</si>
  <si>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</si>
  <si>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</si>
  <si>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</si>
  <si>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</si>
  <si>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</si>
  <si>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</si>
  <si>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</si>
  <si>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</si>
  <si>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</si>
  <si>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</si>
  <si>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</si>
  <si>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</si>
  <si>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</si>
  <si>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</si>
  <si>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</si>
  <si>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</si>
  <si>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</si>
  <si>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</si>
  <si>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</si>
  <si>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</si>
  <si>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</si>
  <si>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</si>
  <si>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</si>
  <si>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</si>
  <si>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</si>
  <si>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</si>
  <si>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</si>
  <si>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</si>
  <si>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</si>
  <si>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</si>
  <si>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</si>
  <si>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</si>
  <si>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</si>
  <si>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</si>
  <si>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</si>
  <si>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</si>
  <si>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</si>
  <si>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</si>
  <si>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</si>
  <si>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</si>
  <si>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</si>
  <si>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</si>
  <si>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</si>
  <si>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</si>
  <si>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</si>
  <si>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</si>
  <si>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</si>
  <si>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</si>
  <si>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</si>
  <si>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</si>
  <si>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</si>
  <si>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</si>
  <si>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</si>
  <si>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</si>
  <si>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</si>
  <si>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</si>
  <si>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</si>
  <si>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</si>
  <si>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</si>
  <si>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</si>
  <si>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</si>
  <si>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</si>
  <si>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</si>
  <si>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</si>
  <si>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</si>
  <si>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</si>
  <si>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</si>
  <si>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</si>
  <si>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</si>
  <si>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</si>
  <si>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</si>
  <si>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</si>
  <si>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</si>
  <si>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</si>
  <si>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</si>
  <si>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</si>
  <si>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</si>
  <si>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</si>
  <si>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</si>
  <si>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</si>
  <si>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</si>
  <si>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</si>
  <si>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</si>
  <si>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</si>
  <si>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</si>
  <si>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</si>
  <si>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</si>
  <si>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</si>
  <si>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</si>
  <si>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</si>
  <si>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</si>
  <si>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</si>
  <si>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</si>
  <si>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</si>
  <si>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</si>
  <si>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</si>
  <si>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</si>
  <si>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</si>
  <si>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</si>
  <si>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</si>
  <si>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</si>
  <si>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</si>
  <si>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</si>
  <si>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</si>
  <si>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</si>
  <si>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</si>
  <si>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</si>
  <si>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</si>
  <si>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</si>
  <si>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</si>
  <si>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</si>
  <si>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</si>
  <si>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</si>
  <si>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</si>
  <si>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</si>
  <si>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</si>
  <si>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</si>
  <si>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</si>
  <si>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</si>
  <si>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</si>
  <si>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</si>
  <si>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</si>
  <si>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</si>
  <si>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</si>
  <si>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</si>
  <si>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</si>
  <si>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</si>
  <si>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</si>
  <si>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</si>
  <si>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</si>
  <si>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</si>
  <si>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</si>
  <si>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</si>
  <si>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</si>
  <si>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</si>
  <si>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</si>
  <si>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</si>
  <si>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</si>
  <si>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</si>
  <si>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</si>
  <si>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</si>
  <si>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</si>
  <si>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</si>
  <si>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</si>
  <si>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</si>
  <si>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</si>
  <si>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</si>
  <si>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</si>
  <si>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</si>
  <si>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</si>
  <si>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</si>
  <si>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</si>
  <si>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</si>
  <si>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</si>
  <si>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</si>
  <si>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</si>
  <si>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</si>
  <si>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</si>
  <si>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</si>
  <si>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</si>
  <si>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</si>
  <si>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</si>
  <si>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</si>
  <si>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</si>
  <si>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</si>
  <si>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</si>
  <si>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</si>
  <si>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</si>
  <si>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</si>
  <si>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</si>
  <si>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</si>
  <si>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</si>
  <si>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</si>
  <si>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</si>
  <si>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</si>
  <si>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</si>
  <si>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</si>
  <si>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</si>
  <si>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</si>
  <si>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</si>
  <si>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</si>
  <si>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</si>
  <si>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</si>
  <si>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</si>
  <si>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</si>
  <si>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</si>
  <si>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</si>
  <si>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</si>
  <si>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</si>
  <si>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</si>
  <si>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</si>
  <si>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</si>
  <si>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</si>
  <si>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</si>
  <si>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</si>
  <si>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</si>
  <si>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</si>
  <si>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</si>
  <si>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</si>
  <si>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</si>
  <si>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</si>
  <si>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</si>
  <si>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</si>
  <si>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</si>
  <si>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</si>
  <si>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</si>
  <si>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</si>
  <si>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</si>
  <si>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</si>
  <si>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</si>
  <si>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</si>
  <si>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</si>
  <si>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</si>
  <si>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</si>
  <si>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</si>
  <si>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</si>
  <si>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</si>
  <si>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</si>
  <si>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</si>
  <si>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</si>
  <si>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</si>
  <si>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</si>
  <si>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</si>
  <si>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</si>
  <si>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</si>
  <si>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</si>
  <si>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</si>
  <si>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</si>
  <si>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</si>
  <si>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</si>
  <si>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</si>
  <si>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</si>
  <si>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</si>
  <si>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</si>
  <si>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</si>
  <si>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</si>
  <si>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</si>
  <si>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</si>
  <si>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</si>
  <si>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</si>
  <si>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</si>
  <si>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</si>
  <si>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</si>
  <si>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</si>
  <si>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</si>
  <si>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</si>
  <si>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</si>
  <si>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</si>
  <si>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</si>
  <si>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</si>
  <si>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</si>
  <si>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</si>
  <si>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</si>
  <si>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</si>
  <si>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</si>
  <si>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</si>
  <si>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</si>
  <si>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</si>
  <si>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</si>
  <si>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</si>
  <si>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</si>
  <si>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</si>
  <si>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</si>
  <si>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</si>
  <si>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</si>
  <si>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</si>
  <si>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</si>
  <si>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</si>
  <si>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</si>
  <si>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</si>
  <si>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</si>
  <si>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</si>
  <si>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</si>
  <si>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</si>
  <si>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</si>
  <si>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</si>
  <si>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</si>
  <si>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</si>
  <si>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</si>
  <si>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</si>
  <si>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</si>
  <si>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</si>
  <si>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</si>
  <si>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</si>
  <si>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</si>
  <si>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</si>
  <si>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</si>
  <si>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</si>
  <si>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</si>
  <si>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</si>
  <si>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</si>
  <si>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</si>
  <si>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</si>
  <si>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</si>
  <si>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</si>
  <si>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</si>
  <si>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</si>
  <si>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</si>
  <si>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</si>
  <si>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</si>
  <si>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</si>
  <si>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</si>
  <si>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</si>
  <si>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</si>
  <si>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</si>
  <si>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</si>
  <si>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</si>
  <si>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</si>
  <si>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</si>
  <si>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</si>
  <si>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</si>
  <si>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</si>
  <si>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</si>
  <si>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</si>
  <si>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</si>
  <si>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</si>
  <si>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</si>
  <si>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</si>
  <si>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</si>
  <si>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</si>
  <si>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</si>
  <si>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</si>
  <si>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</si>
  <si>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</si>
  <si>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</si>
  <si>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</si>
  <si>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</si>
  <si>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</si>
  <si>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</si>
  <si>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</si>
  <si>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</si>
  <si>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</si>
  <si>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</si>
  <si>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</si>
  <si>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</si>
  <si>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</si>
  <si>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</si>
  <si>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</si>
  <si>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</si>
  <si>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</si>
  <si>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</si>
  <si>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</si>
  <si>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</si>
  <si>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</si>
  <si>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</si>
  <si>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</si>
  <si>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</si>
  <si>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</si>
  <si>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</si>
  <si>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</si>
  <si>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</si>
  <si>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</si>
  <si>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</si>
  <si>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</si>
  <si>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</si>
  <si>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</si>
  <si>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</si>
  <si>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</si>
  <si>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</si>
  <si>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</si>
  <si>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</si>
  <si>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</si>
  <si>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</si>
  <si>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</si>
  <si>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</si>
  <si>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</si>
  <si>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</si>
  <si>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</si>
  <si>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</si>
  <si>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</si>
  <si>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</si>
  <si>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</si>
  <si>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</si>
  <si>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</si>
  <si>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</si>
  <si>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</si>
  <si>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</si>
  <si>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</si>
  <si>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</si>
  <si>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</si>
  <si>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</si>
  <si>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</si>
  <si>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</si>
  <si>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</si>
  <si>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</si>
  <si>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</si>
  <si>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</si>
  <si>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</si>
  <si>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</si>
  <si>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</si>
  <si>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</si>
  <si>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</si>
  <si>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</si>
  <si>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</si>
  <si>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</si>
  <si>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</si>
  <si>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</si>
  <si>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</si>
  <si>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</si>
  <si>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</si>
  <si>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</si>
  <si>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</si>
  <si>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</si>
  <si>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</si>
  <si>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</si>
  <si>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</si>
  <si>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</si>
  <si>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</si>
  <si>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</si>
  <si>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</si>
  <si>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</si>
  <si>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</si>
  <si>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</si>
  <si>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</si>
  <si>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</si>
  <si>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</si>
  <si>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</si>
  <si>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</si>
  <si>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</si>
  <si>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</si>
  <si>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</si>
  <si>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</si>
  <si>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</si>
  <si>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</si>
  <si>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</si>
  <si>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</si>
  <si>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</si>
  <si>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</si>
  <si>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</si>
  <si>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</si>
  <si>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</si>
  <si>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</si>
  <si>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</si>
  <si>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</si>
  <si>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</si>
  <si>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</si>
  <si>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</si>
  <si>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</si>
  <si>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</si>
  <si>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</si>
  <si>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</si>
  <si>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</si>
  <si>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</si>
  <si>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</si>
  <si>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</si>
  <si>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</si>
  <si>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</si>
  <si>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</si>
  <si>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</si>
  <si>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</si>
  <si>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</si>
  <si>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</si>
  <si>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</si>
  <si>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</si>
  <si>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</si>
  <si>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</si>
  <si>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</si>
  <si>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</si>
  <si>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</si>
  <si>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</si>
  <si>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</si>
  <si>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</si>
  <si>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</si>
  <si>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</si>
  <si>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</si>
  <si>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</si>
  <si>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</si>
  <si>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</si>
  <si>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</si>
  <si>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</si>
  <si>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</si>
  <si>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</si>
  <si>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</si>
  <si>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</si>
  <si>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</si>
  <si>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</si>
  <si>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</si>
  <si>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</si>
  <si>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</si>
  <si>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</si>
  <si>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</si>
  <si>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</si>
  <si>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</si>
  <si>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</si>
  <si>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</si>
  <si>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</si>
  <si>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</si>
  <si>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</si>
  <si>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</si>
  <si>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</si>
  <si>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</si>
  <si>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</si>
  <si>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</si>
  <si>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</si>
  <si>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</si>
  <si>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</si>
  <si>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</si>
  <si>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</si>
  <si>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</si>
  <si>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</si>
  <si>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</si>
  <si>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</si>
  <si>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</si>
  <si>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</si>
  <si>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</si>
  <si>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</si>
  <si>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</si>
  <si>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</si>
  <si>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</si>
  <si>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</si>
  <si>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</si>
  <si>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</si>
  <si>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</si>
  <si>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</si>
  <si>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</si>
  <si>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</si>
  <si>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</si>
  <si>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</si>
  <si>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</si>
  <si>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</si>
  <si>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</si>
  <si>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</si>
  <si>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</si>
  <si>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</si>
  <si>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</si>
  <si>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</si>
  <si>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</si>
  <si>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</si>
  <si>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</si>
  <si>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</si>
  <si>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</si>
  <si>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</si>
  <si>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</si>
  <si>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</si>
  <si>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</si>
  <si>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</si>
  <si>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</si>
  <si>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</si>
  <si>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</si>
  <si>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</si>
  <si>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</si>
  <si>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</si>
  <si>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</si>
  <si>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</si>
  <si>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</si>
  <si>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</si>
  <si>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</si>
  <si>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</si>
  <si>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</si>
  <si>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</si>
  <si>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</si>
  <si>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</si>
  <si>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</si>
  <si>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</si>
  <si>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</si>
  <si>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</si>
  <si>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</si>
  <si>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</si>
  <si>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</si>
  <si>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</si>
  <si>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</si>
  <si>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</si>
  <si>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</si>
  <si>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</si>
  <si>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</si>
  <si>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</si>
  <si>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</si>
  <si>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</si>
  <si>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</si>
  <si>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</si>
  <si>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</si>
  <si>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</si>
  <si>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</si>
  <si>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</si>
  <si>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</si>
  <si>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</si>
  <si>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</si>
  <si>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</si>
  <si>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</si>
  <si>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</si>
  <si>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</si>
  <si>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</si>
  <si>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</si>
  <si>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</si>
  <si>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</si>
  <si>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</si>
  <si>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</si>
  <si>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</si>
  <si>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</si>
  <si>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</si>
  <si>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</si>
  <si>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</si>
  <si>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</si>
  <si>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</si>
  <si>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</si>
  <si>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</si>
  <si>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</si>
  <si>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</si>
  <si>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</si>
  <si>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</si>
  <si>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</si>
  <si>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</si>
  <si>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</si>
  <si>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</si>
  <si>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</si>
  <si>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</si>
  <si>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</si>
  <si>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</si>
  <si>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</si>
  <si>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</si>
  <si>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</si>
  <si>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</si>
  <si>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</si>
  <si>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</si>
  <si>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</si>
  <si>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</si>
  <si>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</si>
  <si>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</si>
  <si>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</si>
  <si>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</si>
  <si>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</si>
  <si>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</si>
  <si>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</si>
  <si>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</si>
  <si>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</si>
  <si>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</si>
  <si>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</si>
  <si>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</si>
  <si>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</si>
  <si>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</si>
  <si>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</si>
  <si>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</si>
  <si>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</si>
  <si>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</si>
  <si>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</si>
  <si>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</si>
  <si>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</si>
  <si>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</si>
  <si>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</si>
  <si>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</si>
  <si>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</si>
  <si>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</si>
  <si>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</si>
  <si>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</si>
  <si>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</si>
  <si>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</si>
  <si>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</si>
  <si>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</si>
  <si>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</si>
  <si>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</si>
  <si>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</si>
  <si>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</si>
  <si>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</si>
  <si>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</si>
  <si>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</si>
  <si>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</si>
  <si>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</si>
  <si>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</si>
  <si>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</si>
  <si>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</si>
  <si>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</si>
  <si>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</si>
  <si>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</si>
  <si>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</si>
  <si>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</si>
  <si>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</si>
  <si>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</si>
  <si>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</si>
  <si>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</si>
  <si>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</si>
  <si>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</si>
  <si>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</si>
  <si>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</si>
  <si>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</si>
  <si>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</si>
  <si>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</si>
  <si>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</si>
  <si>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</si>
  <si>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</si>
  <si>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</si>
  <si>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</si>
  <si>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</si>
  <si>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</si>
  <si>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</si>
  <si>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</si>
  <si>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</si>
  <si>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</si>
  <si>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</si>
  <si>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</si>
  <si>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</si>
  <si>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</si>
  <si>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</si>
  <si>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</si>
  <si>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</si>
  <si>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</si>
  <si>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</si>
  <si>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</si>
  <si>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</si>
  <si>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</si>
  <si>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</si>
  <si>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</si>
  <si>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</si>
  <si>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</si>
  <si>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</si>
  <si>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</si>
  <si>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</si>
  <si>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</si>
  <si>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</si>
  <si>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</si>
  <si>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</si>
  <si>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</si>
  <si>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</si>
  <si>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</si>
  <si>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</si>
  <si>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</si>
  <si>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</si>
  <si>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</si>
  <si>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</si>
  <si>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</si>
  <si>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</si>
  <si>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</si>
  <si>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</si>
  <si>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</si>
  <si>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</si>
  <si>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</si>
  <si>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</si>
  <si>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</si>
  <si>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</si>
  <si>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</si>
  <si>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</si>
  <si>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</si>
  <si>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</si>
  <si>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</si>
  <si>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</si>
  <si>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</si>
  <si>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</si>
  <si>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</si>
  <si>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</si>
  <si>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</si>
  <si>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</si>
  <si>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</si>
  <si>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</si>
  <si>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</si>
  <si>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</si>
  <si>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</si>
  <si>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</si>
  <si>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</si>
  <si>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</si>
  <si>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</si>
  <si>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</si>
  <si>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</si>
  <si>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</si>
  <si>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</si>
  <si>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</si>
  <si>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</si>
  <si>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</si>
  <si>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</si>
  <si>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</si>
  <si>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</si>
  <si>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</si>
  <si>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</si>
  <si>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</si>
  <si>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</si>
  <si>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</si>
  <si>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</si>
  <si>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</si>
  <si>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</si>
  <si>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</si>
  <si>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</si>
  <si>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</si>
  <si>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</si>
  <si>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</si>
  <si>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</si>
  <si>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</si>
  <si>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</si>
  <si>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</si>
  <si>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</si>
  <si>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</si>
  <si>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</si>
  <si>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</si>
  <si>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</si>
  <si>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</si>
  <si>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</si>
  <si>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</si>
  <si>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</si>
  <si>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</si>
  <si>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</si>
  <si>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</si>
  <si>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</si>
  <si>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</si>
  <si>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</si>
  <si>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</si>
  <si>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</si>
  <si>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</si>
  <si>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</si>
  <si>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</si>
  <si>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</si>
  <si>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</si>
  <si>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</si>
  <si>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</si>
  <si>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</si>
  <si>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</si>
  <si>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</si>
  <si>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</si>
  <si>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</si>
  <si>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</si>
  <si>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</si>
  <si>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</si>
  <si>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</si>
  <si>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</si>
  <si>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</si>
  <si>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</si>
  <si>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</si>
  <si>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</si>
  <si>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</si>
  <si>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</si>
  <si>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</si>
  <si>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</si>
  <si>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</si>
  <si>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</si>
  <si>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</si>
  <si>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</si>
  <si>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</si>
  <si>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</si>
  <si>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</si>
  <si>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</si>
  <si>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</si>
  <si>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</si>
  <si>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</si>
  <si>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</si>
  <si>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</si>
  <si>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</si>
  <si>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</si>
  <si>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</si>
  <si>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</si>
  <si>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</si>
  <si>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</si>
  <si>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</si>
  <si>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</si>
  <si>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</si>
  <si>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</si>
  <si>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</si>
  <si>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</si>
  <si>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</si>
  <si>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</si>
  <si>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</si>
  <si>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</si>
  <si>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</si>
  <si>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</si>
  <si>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</si>
  <si>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</si>
  <si>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</si>
  <si>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</si>
  <si>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</si>
  <si>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</si>
  <si>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</si>
  <si>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</si>
  <si>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</si>
  <si>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</si>
  <si>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</si>
  <si>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</si>
  <si>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</si>
  <si>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</si>
  <si>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</si>
  <si>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</si>
  <si>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</si>
  <si>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</si>
  <si>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</si>
  <si>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</si>
  <si>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</si>
  <si>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</si>
  <si>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</si>
  <si>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</si>
  <si>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</si>
  <si>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</si>
  <si>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</si>
  <si>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</si>
  <si>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</si>
  <si>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</si>
  <si>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</si>
  <si>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</si>
  <si>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</si>
  <si>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</si>
  <si>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</si>
  <si>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</si>
  <si>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</si>
  <si>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</si>
  <si>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</si>
  <si>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</si>
  <si>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</si>
  <si>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</si>
  <si>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</si>
  <si>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</si>
  <si>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</si>
  <si>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</si>
  <si>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</si>
  <si>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</si>
  <si>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</si>
  <si>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</si>
  <si>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</si>
  <si>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</si>
  <si>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</si>
  <si>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</si>
  <si>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</si>
  <si>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</si>
  <si>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</si>
  <si>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</si>
  <si>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</si>
  <si>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</si>
  <si>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</si>
  <si>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</si>
  <si>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</si>
  <si>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</si>
  <si>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</si>
  <si>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</si>
  <si>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</si>
  <si>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</si>
  <si>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</si>
  <si>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</si>
  <si>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</si>
  <si>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</si>
  <si>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</si>
  <si>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</si>
  <si>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</si>
  <si>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</si>
  <si>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</si>
  <si>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</si>
  <si>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</si>
  <si>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</si>
  <si>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</si>
  <si>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</si>
  <si>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</si>
  <si>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</si>
  <si>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</si>
  <si>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</si>
  <si>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</si>
  <si>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</si>
  <si>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</si>
  <si>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</si>
  <si>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</si>
  <si>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</si>
  <si>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</si>
  <si>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</si>
  <si>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</si>
  <si>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</si>
  <si>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</si>
  <si>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</si>
  <si>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</si>
  <si>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</si>
  <si>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</si>
  <si>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</si>
  <si>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</si>
  <si>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</si>
  <si>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</si>
  <si>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</si>
  <si>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</si>
  <si>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</si>
  <si>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</si>
  <si>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</si>
  <si>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</si>
  <si>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</si>
  <si>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</si>
  <si>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</si>
  <si>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</si>
  <si>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</si>
  <si>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</si>
  <si>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</si>
  <si>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</si>
  <si>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</si>
  <si>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</si>
  <si>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</si>
  <si>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</si>
  <si>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</si>
  <si>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</si>
  <si>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</si>
  <si>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</si>
  <si>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</si>
  <si>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</si>
  <si>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</si>
  <si>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</si>
  <si>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</si>
  <si>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</si>
  <si>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</si>
  <si>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</si>
  <si>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</si>
  <si>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</si>
  <si>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</si>
  <si>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</si>
  <si>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</si>
  <si>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</si>
  <si>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</si>
  <si>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</si>
  <si>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</si>
  <si>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</si>
  <si>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</si>
  <si>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</si>
  <si>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</si>
  <si>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</si>
  <si>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</si>
  <si>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</si>
  <si>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</si>
  <si>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</si>
  <si>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</si>
  <si>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</si>
  <si>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</si>
  <si>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</si>
  <si>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</si>
  <si>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</si>
  <si>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</si>
  <si>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</si>
  <si>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</si>
  <si>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</si>
  <si>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</si>
  <si>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</si>
  <si>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</si>
  <si>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</si>
  <si>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</si>
  <si>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</si>
  <si>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</si>
  <si>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</si>
  <si>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</si>
  <si>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</si>
  <si>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</si>
  <si>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</si>
  <si>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</si>
  <si>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</si>
  <si>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</si>
  <si>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</si>
  <si>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</si>
  <si>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</si>
  <si>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</si>
  <si>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</si>
  <si>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</si>
  <si>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</si>
  <si>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</si>
  <si>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</si>
  <si>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</si>
  <si>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</si>
  <si>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</si>
  <si>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</si>
  <si>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</si>
  <si>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</si>
  <si>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</si>
  <si>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</si>
  <si>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</si>
  <si>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</si>
  <si>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</si>
  <si>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</si>
  <si>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</si>
  <si>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</si>
  <si>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</si>
  <si>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</si>
  <si>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</si>
  <si>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</si>
  <si>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</si>
  <si>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</si>
  <si>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</si>
  <si>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</si>
  <si>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</si>
  <si>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</si>
  <si>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</si>
  <si>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</si>
  <si>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</si>
  <si>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</si>
  <si>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</si>
  <si>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</si>
  <si>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</si>
  <si>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</si>
  <si>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</si>
  <si>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</si>
  <si>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</si>
  <si>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</si>
  <si>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</si>
  <si>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</si>
  <si>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</si>
  <si>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</si>
  <si>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</si>
  <si>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</si>
  <si>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</si>
  <si>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</si>
  <si>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</si>
  <si>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</si>
  <si>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</si>
  <si>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</si>
  <si>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</si>
  <si>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</si>
  <si>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</si>
  <si>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</si>
  <si>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</si>
  <si>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</si>
  <si>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</si>
  <si>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</si>
  <si>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</si>
  <si>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</si>
  <si>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</si>
  <si>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</si>
  <si>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</si>
  <si>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</si>
  <si>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</si>
  <si>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</si>
  <si>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</si>
  <si>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</si>
  <si>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</si>
  <si>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</si>
  <si>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</si>
  <si>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</si>
  <si>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</si>
  <si>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</si>
  <si>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</si>
  <si>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</si>
  <si>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</si>
  <si>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</si>
  <si>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</si>
  <si>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</si>
  <si>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</si>
  <si>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</si>
  <si>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</si>
  <si>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</si>
  <si>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</si>
  <si>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</si>
  <si>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</si>
  <si>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</si>
  <si>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</si>
  <si>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</si>
  <si>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</si>
  <si>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</si>
  <si>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</si>
  <si>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</si>
  <si>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</si>
  <si>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</si>
  <si>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</si>
  <si>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</si>
  <si>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</si>
  <si>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</si>
  <si>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</si>
  <si>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</si>
  <si>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</si>
  <si>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</si>
  <si>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</si>
  <si>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</si>
  <si>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</si>
  <si>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</si>
  <si>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</si>
  <si>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</si>
  <si>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</si>
  <si>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</si>
  <si>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</si>
  <si>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</si>
  <si>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</si>
  <si>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</si>
  <si>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</si>
  <si>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</si>
  <si>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</si>
  <si>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</si>
  <si>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</si>
  <si>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</si>
  <si>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</si>
  <si>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</si>
  <si>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</si>
  <si>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</si>
  <si>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</si>
  <si>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</si>
  <si>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</si>
  <si>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</si>
  <si>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</si>
  <si>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</si>
  <si>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</si>
  <si>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</si>
  <si>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</si>
  <si>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</si>
  <si>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</si>
  <si>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</si>
  <si>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</si>
  <si>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</si>
  <si>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</si>
  <si>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</si>
  <si>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</si>
  <si>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</si>
  <si>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</si>
  <si>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</si>
  <si>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</si>
  <si>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</si>
  <si>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</si>
  <si>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</si>
  <si>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</si>
  <si>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</si>
  <si>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</si>
  <si>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</si>
  <si>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</si>
  <si>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</si>
  <si>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</si>
  <si>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</si>
  <si>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</si>
  <si>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</si>
  <si>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</si>
  <si>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</si>
  <si>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</si>
  <si>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</si>
  <si>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</si>
  <si>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</si>
  <si>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</si>
  <si>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</si>
  <si>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</si>
  <si>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</si>
  <si>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</si>
  <si>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</si>
  <si>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</si>
  <si>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</si>
  <si>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</si>
  <si>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</si>
  <si>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</si>
  <si>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</si>
  <si>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</si>
  <si>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</si>
  <si>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</si>
  <si>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</si>
  <si>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</si>
  <si>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</si>
  <si>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</si>
  <si>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</si>
  <si>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</si>
  <si>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</si>
  <si>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</si>
  <si>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</si>
  <si>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</si>
  <si>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</si>
  <si>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</si>
  <si>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</si>
  <si>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</si>
  <si>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</si>
  <si>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</si>
  <si>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</si>
  <si>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</si>
  <si>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</si>
  <si>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</si>
  <si>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</si>
  <si>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</si>
  <si>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</si>
  <si>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</si>
  <si>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</si>
  <si>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</si>
  <si>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</si>
  <si>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</si>
  <si>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</si>
  <si>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</si>
  <si>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</si>
  <si>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</si>
  <si>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</si>
  <si>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</si>
  <si>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</si>
  <si>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</si>
  <si>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</si>
  <si>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</si>
  <si>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</si>
  <si>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</si>
  <si>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</si>
  <si>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</si>
  <si>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</si>
  <si>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</si>
  <si>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</si>
  <si>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</si>
  <si>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</si>
  <si>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</si>
  <si>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</si>
  <si>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</si>
  <si>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</si>
  <si>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</si>
  <si>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</si>
  <si>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</si>
  <si>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</si>
  <si>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</si>
  <si>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</si>
  <si>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</si>
  <si>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</si>
  <si>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</si>
  <si>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</si>
  <si>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</si>
  <si>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</si>
  <si>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</si>
  <si>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</si>
  <si>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</si>
  <si>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</si>
  <si>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</si>
  <si>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</si>
  <si>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</si>
  <si>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</si>
  <si>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</si>
  <si>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</si>
  <si>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</si>
  <si>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</si>
  <si>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</si>
  <si>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</si>
  <si>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</si>
  <si>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</si>
  <si>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</si>
  <si>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</si>
  <si>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</si>
  <si>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</si>
  <si>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</si>
  <si>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</si>
  <si>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</si>
  <si>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</si>
  <si>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</si>
  <si>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</si>
  <si>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</si>
  <si>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</si>
  <si>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</si>
  <si>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</si>
  <si>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</si>
  <si>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</si>
  <si>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</si>
  <si>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</si>
  <si>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</si>
  <si>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</si>
  <si>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</si>
  <si>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</si>
  <si>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</si>
  <si>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</si>
  <si>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</si>
  <si>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</si>
  <si>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</si>
  <si>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</si>
  <si>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</si>
  <si>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</si>
  <si>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</si>
  <si>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</si>
  <si>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</si>
  <si>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</si>
  <si>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</si>
  <si>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</si>
  <si>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</si>
  <si>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</si>
  <si>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</si>
  <si>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</si>
  <si>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</si>
  <si>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</si>
  <si>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</si>
  <si>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</si>
  <si>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</si>
  <si>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</si>
  <si>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</si>
  <si>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</si>
  <si>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</si>
  <si>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</si>
  <si>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</si>
  <si>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</si>
  <si>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</si>
  <si>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</si>
  <si>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</si>
  <si>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</si>
  <si>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</si>
  <si>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</si>
  <si>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</si>
  <si>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</si>
  <si>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</si>
  <si>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</si>
  <si>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</si>
  <si>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</si>
  <si>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</si>
  <si>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</si>
  <si>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</si>
  <si>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</si>
  <si>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</si>
  <si>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</si>
  <si>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</si>
  <si>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</si>
  <si>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</si>
  <si>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</si>
  <si>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</si>
  <si>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</si>
  <si>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</si>
  <si>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</si>
  <si>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</si>
  <si>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</si>
  <si>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</si>
  <si>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</si>
  <si>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</si>
  <si>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</si>
  <si>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</si>
  <si>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</si>
  <si>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</si>
  <si>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</si>
  <si>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</si>
  <si>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</si>
  <si>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</si>
  <si>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</si>
  <si>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</si>
  <si>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</si>
  <si>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</si>
  <si>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</si>
  <si>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</si>
  <si>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</si>
  <si>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</si>
  <si>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</si>
  <si>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</si>
  <si>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</si>
  <si>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</si>
  <si>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</si>
  <si>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</si>
  <si>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</si>
  <si>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</si>
  <si>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</si>
  <si>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</si>
  <si>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</si>
  <si>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</si>
  <si>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</si>
  <si>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</si>
  <si>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</si>
  <si>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</si>
  <si>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</si>
  <si>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</si>
  <si>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</si>
  <si>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</si>
  <si>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</si>
  <si>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</si>
  <si>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</si>
  <si>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</si>
  <si>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</si>
  <si>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</si>
  <si>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</si>
  <si>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</si>
  <si>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</si>
  <si>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</si>
  <si>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</si>
  <si>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</si>
  <si>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</si>
  <si>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</si>
  <si>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</si>
  <si>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</si>
  <si>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</si>
  <si>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</si>
  <si>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</si>
  <si>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</si>
  <si>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</si>
  <si>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</si>
  <si>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</si>
  <si>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</si>
  <si>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</si>
  <si>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</si>
  <si>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</si>
  <si>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</si>
  <si>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</si>
  <si>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</si>
  <si>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</si>
  <si>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</si>
  <si>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</si>
  <si>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</si>
  <si>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</si>
  <si>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</si>
  <si>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</si>
  <si>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</si>
  <si>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</si>
  <si>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</si>
  <si>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</si>
  <si>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</si>
  <si>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</si>
  <si>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</si>
  <si>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</si>
  <si>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</si>
  <si>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</si>
  <si>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</si>
  <si>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</si>
  <si>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</si>
  <si>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</si>
  <si>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</si>
  <si>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</si>
  <si>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</si>
  <si>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</si>
  <si>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</si>
  <si>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</si>
  <si>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</si>
  <si>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</si>
  <si>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</si>
  <si>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</si>
  <si>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</si>
  <si>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</si>
  <si>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</si>
  <si>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</si>
  <si>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</si>
  <si>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</si>
  <si>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</si>
  <si>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</si>
  <si>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</si>
  <si>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</si>
  <si>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</si>
  <si>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</si>
  <si>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</si>
  <si>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</si>
  <si>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</si>
  <si>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</si>
  <si>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</si>
  <si>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</si>
  <si>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</si>
  <si>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</si>
  <si>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</si>
  <si>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</si>
  <si>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</si>
  <si>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</si>
  <si>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</si>
  <si>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</si>
  <si>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</si>
  <si>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</si>
  <si>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</si>
  <si>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</si>
  <si>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</si>
  <si>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</si>
  <si>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</si>
  <si>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</si>
  <si>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</si>
  <si>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</si>
  <si>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</si>
  <si>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</si>
  <si>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</si>
  <si>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</si>
  <si>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</si>
  <si>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</si>
  <si>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</si>
  <si>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</si>
  <si>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</si>
  <si>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</si>
  <si>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</si>
  <si>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</si>
  <si>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</si>
  <si>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</si>
  <si>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</si>
  <si>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</si>
  <si>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</si>
  <si>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</si>
  <si>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</si>
  <si>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</si>
  <si>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</si>
  <si>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</si>
  <si>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</si>
  <si>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</si>
  <si>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</si>
  <si>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</si>
  <si>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</si>
  <si>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</si>
  <si>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</si>
  <si>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</si>
  <si>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</si>
  <si>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</si>
  <si>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</si>
  <si>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</si>
  <si>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</si>
  <si>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</si>
  <si>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</si>
  <si>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</si>
  <si>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</si>
  <si>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</si>
  <si>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</si>
  <si>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</si>
  <si>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</si>
  <si>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</si>
  <si>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</si>
  <si>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</si>
  <si>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</si>
  <si>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</si>
  <si>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</si>
  <si>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</si>
  <si>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</si>
  <si>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</si>
  <si>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</si>
  <si>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</si>
  <si>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</si>
  <si>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</si>
  <si>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</si>
  <si>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</si>
  <si>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</si>
  <si>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</si>
  <si>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</si>
  <si>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</si>
  <si>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</si>
  <si>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</si>
  <si>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</si>
  <si>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</si>
  <si>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</si>
  <si>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</si>
  <si>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</si>
  <si>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</si>
  <si>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</si>
  <si>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</si>
  <si>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</si>
  <si>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</si>
  <si>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</si>
  <si>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</si>
  <si>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</si>
  <si>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</si>
  <si>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</si>
  <si>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</si>
  <si>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</si>
  <si>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</si>
  <si>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</si>
  <si>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</si>
  <si>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</si>
  <si>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</si>
  <si>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</si>
  <si>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</si>
  <si>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</si>
  <si>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</si>
  <si>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</si>
  <si>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</si>
  <si>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</si>
  <si>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</si>
  <si>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</si>
  <si>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</si>
  <si>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</si>
  <si>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</si>
  <si>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</si>
  <si>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</si>
  <si>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</si>
  <si>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</si>
  <si>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</si>
  <si>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</si>
  <si>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</si>
  <si>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</si>
  <si>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</si>
  <si>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</si>
  <si>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</si>
  <si>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</si>
  <si>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</si>
  <si>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</si>
  <si>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</si>
  <si>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</si>
  <si>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</si>
  <si>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</si>
  <si>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</si>
  <si>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</si>
  <si>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</si>
  <si>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</si>
  <si>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</si>
  <si>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</si>
  <si>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</si>
  <si>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</si>
  <si>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</si>
  <si>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</si>
  <si>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</si>
  <si>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</si>
  <si>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</si>
  <si>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</si>
  <si>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</si>
  <si>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</si>
  <si>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</si>
  <si>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</si>
  <si>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</si>
  <si>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</si>
  <si>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</si>
  <si>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</si>
  <si>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</si>
  <si>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</si>
  <si>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</si>
  <si>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</si>
  <si>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</si>
  <si>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</si>
  <si>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</si>
  <si>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</si>
  <si>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</si>
  <si>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</si>
  <si>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</si>
  <si>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</si>
  <si>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</si>
  <si>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</si>
  <si>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</si>
  <si>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</si>
  <si>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</si>
  <si>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</si>
  <si>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</si>
  <si>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</si>
  <si>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</si>
  <si>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</si>
  <si>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</si>
  <si>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</si>
  <si>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</si>
  <si>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</si>
  <si>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</si>
  <si>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</si>
  <si>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</si>
  <si>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</si>
  <si>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</si>
  <si>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</si>
  <si>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</si>
  <si>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</si>
  <si>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</si>
  <si>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</si>
  <si>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</si>
  <si>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</si>
  <si>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</si>
  <si>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</si>
  <si>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</si>
  <si>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</si>
  <si>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</si>
  <si>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</si>
  <si>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</si>
  <si>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</si>
  <si>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</si>
  <si>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</si>
  <si>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</si>
  <si>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</si>
  <si>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</si>
  <si>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</si>
  <si>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</si>
  <si>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</si>
  <si>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</si>
  <si>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</si>
  <si>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</si>
  <si>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</si>
  <si>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</si>
  <si>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</si>
  <si>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</si>
  <si>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</si>
  <si>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</si>
  <si>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</si>
  <si>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</si>
  <si>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</si>
  <si>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</si>
  <si>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</si>
  <si>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</si>
  <si>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</si>
  <si>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</si>
  <si>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</si>
  <si>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</si>
  <si>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</si>
  <si>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</si>
  <si>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</si>
  <si>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</si>
  <si>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</si>
  <si>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</si>
  <si>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</si>
  <si>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</si>
  <si>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</si>
  <si>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</si>
  <si>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</si>
  <si>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</si>
  <si>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</si>
  <si>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</si>
  <si>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</si>
  <si>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</si>
  <si>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</si>
  <si>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</si>
  <si>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</si>
  <si>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</si>
  <si>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</si>
  <si>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</si>
  <si>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</si>
  <si>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</si>
  <si>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</si>
  <si>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</si>
  <si>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</si>
  <si>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</si>
  <si>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</si>
  <si>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</si>
  <si>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</si>
  <si>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</si>
  <si>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</si>
  <si>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</si>
  <si>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</si>
  <si>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</si>
  <si>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</si>
  <si>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</si>
  <si>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</si>
  <si>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</si>
  <si>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</si>
  <si>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</si>
  <si>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</si>
  <si>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</si>
  <si>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</si>
  <si>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</si>
  <si>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</si>
  <si>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</si>
  <si>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</si>
  <si>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</si>
  <si>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</si>
  <si>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</si>
  <si>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</si>
  <si>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</si>
  <si>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</si>
  <si>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</si>
  <si>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</si>
  <si>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</si>
  <si>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</si>
  <si>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</si>
  <si>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</si>
  <si>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</si>
  <si>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</si>
  <si>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</si>
  <si>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</si>
  <si>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</si>
  <si>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</si>
  <si>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</si>
  <si>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</si>
  <si>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</si>
  <si>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</si>
  <si>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</si>
  <si>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</si>
  <si>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</si>
  <si>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</si>
  <si>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</si>
  <si>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</si>
  <si>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</si>
  <si>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</si>
  <si>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</si>
  <si>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</si>
  <si>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</si>
  <si>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</si>
  <si>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</si>
  <si>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</si>
  <si>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</si>
  <si>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</si>
  <si>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</si>
  <si>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</si>
  <si>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</si>
  <si>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</si>
  <si>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</si>
  <si>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</si>
  <si>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</si>
  <si>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</si>
  <si>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</si>
  <si>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</si>
  <si>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</si>
  <si>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</si>
  <si>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</si>
  <si>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</si>
  <si>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</si>
  <si>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</si>
  <si>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</si>
  <si>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</si>
  <si>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</si>
  <si>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</si>
  <si>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</si>
  <si>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</si>
  <si>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</si>
  <si>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</si>
  <si>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</si>
  <si>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</si>
  <si>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</si>
  <si>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</si>
  <si>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</si>
  <si>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</si>
  <si>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</si>
  <si>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</si>
  <si>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</si>
  <si>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</si>
  <si>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</si>
  <si>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</si>
  <si>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</si>
  <si>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</si>
  <si>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</si>
  <si>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</si>
  <si>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</si>
  <si>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</si>
  <si>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</si>
  <si>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</si>
  <si>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</si>
  <si>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</si>
  <si>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</si>
  <si>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</si>
  <si>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</si>
  <si>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</si>
  <si>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</si>
  <si>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</si>
  <si>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</si>
  <si>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</si>
  <si>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</si>
  <si>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</si>
  <si>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</si>
  <si>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</si>
  <si>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</si>
  <si>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</si>
  <si>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</si>
  <si>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</si>
  <si>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</si>
  <si>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</si>
  <si>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</si>
  <si>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</si>
  <si>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</si>
  <si>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</si>
  <si>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</si>
  <si>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</si>
  <si>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</si>
  <si>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</si>
  <si>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</si>
  <si>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</si>
  <si>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</si>
  <si>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</si>
  <si>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</si>
  <si>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</si>
  <si>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</si>
  <si>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</si>
  <si>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</si>
  <si>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</si>
  <si>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</si>
  <si>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</si>
  <si>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</si>
  <si>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</si>
  <si>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</si>
  <si>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</si>
  <si>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</si>
  <si>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</si>
  <si>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</si>
  <si>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</si>
  <si>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</si>
  <si>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</si>
  <si>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</si>
  <si>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</si>
  <si>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</si>
  <si>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</si>
  <si>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</si>
  <si>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</si>
  <si>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</si>
  <si>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</si>
  <si>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</si>
  <si>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</si>
  <si>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</si>
  <si>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</si>
  <si>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</si>
  <si>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</si>
  <si>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</si>
  <si>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</si>
  <si>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</si>
  <si>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</si>
  <si>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</si>
  <si>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</si>
  <si>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</si>
  <si>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</si>
  <si>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</si>
  <si>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</si>
  <si>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</si>
  <si>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</si>
  <si>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</si>
  <si>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</si>
  <si>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</si>
  <si>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</si>
  <si>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</si>
  <si>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</si>
  <si>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</si>
  <si>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</si>
  <si>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</si>
  <si>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</si>
  <si>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</si>
  <si>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</si>
  <si>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</si>
  <si>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</si>
  <si>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</si>
  <si>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</si>
  <si>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</si>
  <si>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</si>
  <si>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</si>
  <si>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</si>
  <si>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</si>
  <si>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</si>
  <si>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</si>
  <si>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</si>
  <si>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</si>
  <si>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</si>
  <si>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</si>
  <si>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</si>
  <si>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</si>
  <si>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</si>
  <si>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</si>
  <si>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</si>
  <si>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</si>
  <si>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</si>
  <si>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</si>
  <si>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</si>
  <si>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</si>
  <si>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</si>
  <si>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</si>
  <si>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</si>
  <si>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</si>
  <si>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</si>
  <si>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</si>
  <si>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</si>
  <si>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</si>
  <si>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</si>
  <si>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</si>
  <si>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</si>
  <si>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</si>
  <si>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</si>
  <si>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</si>
  <si>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</si>
  <si>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</si>
  <si>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</si>
  <si>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</si>
  <si>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</si>
  <si>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</si>
  <si>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</si>
  <si>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</si>
  <si>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</si>
  <si>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</si>
  <si>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</si>
  <si>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</si>
  <si>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</si>
  <si>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</si>
  <si>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</si>
  <si>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</si>
  <si>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</si>
  <si>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</si>
  <si>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</si>
  <si>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</si>
  <si>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</si>
  <si>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</si>
  <si>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</si>
  <si>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</si>
  <si>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</si>
  <si>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</si>
  <si>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</si>
  <si>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</si>
  <si>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</si>
  <si>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</si>
  <si>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</si>
  <si>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</si>
  <si>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</si>
  <si>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</si>
  <si>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</si>
  <si>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</si>
  <si>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</si>
  <si>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</si>
  <si>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</si>
  <si>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</si>
  <si>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</si>
  <si>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</si>
  <si>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</si>
  <si>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</si>
  <si>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</si>
  <si>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</si>
  <si>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</si>
  <si>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</si>
  <si>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</si>
  <si>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</si>
  <si>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</si>
  <si>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</si>
  <si>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</si>
  <si>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</si>
  <si>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</si>
  <si>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</si>
  <si>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</si>
  <si>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</si>
  <si>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</si>
  <si>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</si>
  <si>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</si>
  <si>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</si>
  <si>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</si>
  <si>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</si>
  <si>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</si>
  <si>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</si>
  <si>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</si>
  <si>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</si>
  <si>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</si>
  <si>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</si>
  <si>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</si>
  <si>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</si>
  <si>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</si>
  <si>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</si>
  <si>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</si>
  <si>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</si>
  <si>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</si>
  <si>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</si>
  <si>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</si>
  <si>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</si>
  <si>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</si>
  <si>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</si>
  <si>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</si>
  <si>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</si>
  <si>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</si>
  <si>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</si>
  <si>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</si>
  <si>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</si>
  <si>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</si>
  <si>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</si>
  <si>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</si>
  <si>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</si>
  <si>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</si>
  <si>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</si>
  <si>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</si>
  <si>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</si>
  <si>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</si>
  <si>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</si>
  <si>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</si>
  <si>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</si>
  <si>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</si>
  <si>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</si>
  <si>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</si>
  <si>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</si>
  <si>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</si>
  <si>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</si>
  <si>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</si>
  <si>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</si>
  <si>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</si>
  <si>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</si>
  <si>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</si>
  <si>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</si>
  <si>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</si>
  <si>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</si>
  <si>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</si>
  <si>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</si>
  <si>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</si>
  <si>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</si>
  <si>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</si>
  <si>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</si>
  <si>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</si>
  <si>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</si>
  <si>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</si>
  <si>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</si>
  <si>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</si>
  <si>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</si>
  <si>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</si>
  <si>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</si>
  <si>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</si>
  <si>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</si>
  <si>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</si>
  <si>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</si>
  <si>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</si>
  <si>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</si>
  <si>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</si>
  <si>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</si>
  <si>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</si>
  <si>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</si>
  <si>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</si>
  <si>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</si>
  <si>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</si>
  <si>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</si>
  <si>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</si>
  <si>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</si>
  <si>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</si>
  <si>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</si>
  <si>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</si>
  <si>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</si>
  <si>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</si>
  <si>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</si>
  <si>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</si>
  <si>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</si>
  <si>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</si>
  <si>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</si>
  <si>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</si>
  <si>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</si>
  <si>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</si>
  <si>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</si>
  <si>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</si>
  <si>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</si>
  <si>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</si>
  <si>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</si>
  <si>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</si>
  <si>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</si>
  <si>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</si>
  <si>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</si>
  <si>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</si>
  <si>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</si>
  <si>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</si>
  <si>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</si>
  <si>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</si>
  <si>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</si>
  <si>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</si>
  <si>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</si>
  <si>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</si>
  <si>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</si>
  <si>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</si>
  <si>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</si>
  <si>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</si>
  <si>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</si>
  <si>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</si>
  <si>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</si>
  <si>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</si>
  <si>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</si>
  <si>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</si>
  <si>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</si>
  <si>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</si>
  <si>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</si>
  <si>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</si>
  <si>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</si>
  <si>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</si>
  <si>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</si>
  <si>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</si>
  <si>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</si>
  <si>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</si>
  <si>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</si>
  <si>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</si>
  <si>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</si>
  <si>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</si>
  <si>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</si>
  <si>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</si>
  <si>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</si>
  <si>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</si>
  <si>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</si>
  <si>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</si>
  <si>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</si>
  <si>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</si>
  <si>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</si>
  <si>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</si>
  <si>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</si>
  <si>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</si>
  <si>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</si>
  <si>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</si>
  <si>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</si>
  <si>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</si>
  <si>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</si>
  <si>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</si>
  <si>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</si>
  <si>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</si>
  <si>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</si>
  <si>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</si>
  <si>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</si>
  <si>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</si>
  <si>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</si>
  <si>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</si>
  <si>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</si>
  <si>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</si>
  <si>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</si>
  <si>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</si>
  <si>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</si>
  <si>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</si>
  <si>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</si>
  <si>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</si>
  <si>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</si>
  <si>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</si>
  <si>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</si>
  <si>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</si>
  <si>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</si>
  <si>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</si>
  <si>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</si>
  <si>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</si>
  <si>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</si>
  <si>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</si>
  <si>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</si>
  <si>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</si>
  <si>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</si>
  <si>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</si>
  <si>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</si>
  <si>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</si>
  <si>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</si>
  <si>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</si>
  <si>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</si>
  <si>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</si>
  <si>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</si>
  <si>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</si>
  <si>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</si>
  <si>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</si>
  <si>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</si>
  <si>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</si>
  <si>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</si>
  <si>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</si>
  <si>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</si>
  <si>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</si>
  <si>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</si>
  <si>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</si>
  <si>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</si>
  <si>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</si>
  <si>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</si>
  <si>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</si>
  <si>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</si>
  <si>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</si>
  <si>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</si>
  <si>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</si>
  <si>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</si>
  <si>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</si>
  <si>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</si>
  <si>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</si>
  <si>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</si>
  <si>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</si>
  <si>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</si>
  <si>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</si>
  <si>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</si>
  <si>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</si>
  <si>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</si>
  <si>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</si>
  <si>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</si>
  <si>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</si>
  <si>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</si>
  <si>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</si>
  <si>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</si>
  <si>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</si>
  <si>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</si>
  <si>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</si>
  <si>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</si>
  <si>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</si>
  <si>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</si>
  <si>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</si>
  <si>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</si>
  <si>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</si>
  <si>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</si>
  <si>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</si>
  <si>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</si>
  <si>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</si>
  <si>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</si>
  <si>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</si>
  <si>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</si>
  <si>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</si>
  <si>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</si>
  <si>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</si>
  <si>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</si>
  <si>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</si>
  <si>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</si>
  <si>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</si>
  <si>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</si>
  <si>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</si>
  <si>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</si>
  <si>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</si>
  <si>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</si>
  <si>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</si>
  <si>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</si>
  <si>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</si>
  <si>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</si>
  <si>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</si>
  <si>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</si>
  <si>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</si>
  <si>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</si>
  <si>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</si>
  <si>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</si>
  <si>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</si>
  <si>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</si>
  <si>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</si>
  <si>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</si>
  <si>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</si>
  <si>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</si>
  <si>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</si>
  <si>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</si>
  <si>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</si>
  <si>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</si>
  <si>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</si>
  <si>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</si>
  <si>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</si>
  <si>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</si>
  <si>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</si>
  <si>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</si>
  <si>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</si>
  <si>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</si>
  <si>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</si>
  <si>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</si>
  <si>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</si>
  <si>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</si>
  <si>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</si>
  <si>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</si>
  <si>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</si>
  <si>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</si>
  <si>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</si>
  <si>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</si>
  <si>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</si>
  <si>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</si>
  <si>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</si>
  <si>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</si>
  <si>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</si>
  <si>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</si>
  <si>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</si>
  <si>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</si>
  <si>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</si>
  <si>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</si>
  <si>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</si>
  <si>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</si>
  <si>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</si>
  <si>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</si>
  <si>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</si>
  <si>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</si>
  <si>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</si>
  <si>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</si>
  <si>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</si>
  <si>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</si>
  <si>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</si>
  <si>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</si>
  <si>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</si>
  <si>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</si>
  <si>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</si>
  <si>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</si>
  <si>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</si>
  <si>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</si>
  <si>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</si>
  <si>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</si>
  <si>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</si>
  <si>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</si>
  <si>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</si>
  <si>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</si>
  <si>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</si>
  <si>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</si>
  <si>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</si>
  <si>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</si>
  <si>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</si>
  <si>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</si>
  <si>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</si>
  <si>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</si>
  <si>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</si>
  <si>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</si>
  <si>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</si>
  <si>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</si>
  <si>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</si>
  <si>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</si>
  <si>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</si>
  <si>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</si>
  <si>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</si>
  <si>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</si>
  <si>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</si>
  <si>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</si>
  <si>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</si>
  <si>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</si>
  <si>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</si>
  <si>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</si>
  <si>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</si>
  <si>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</si>
  <si>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</si>
  <si>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</si>
  <si>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</si>
  <si>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</si>
  <si>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</si>
  <si>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</si>
  <si>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</si>
  <si>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</si>
  <si>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</si>
  <si>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</si>
  <si>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</si>
  <si>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</si>
  <si>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</si>
  <si>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</si>
  <si>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</si>
  <si>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</si>
  <si>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</si>
  <si>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</si>
  <si>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</si>
  <si>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</si>
  <si>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</si>
  <si>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</si>
  <si>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</si>
  <si>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</si>
  <si>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</si>
  <si>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</si>
  <si>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</si>
  <si>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</si>
  <si>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</si>
  <si>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</si>
  <si>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</si>
  <si>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</si>
  <si>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</si>
  <si>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</si>
  <si>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</si>
  <si>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</si>
  <si>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</si>
  <si>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</si>
  <si>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</si>
  <si>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</si>
  <si>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</si>
  <si>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</si>
  <si>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</si>
  <si>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</si>
  <si>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</si>
  <si>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</si>
  <si>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</si>
  <si>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</si>
  <si>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</si>
  <si>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</si>
  <si>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</si>
  <si>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</si>
  <si>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</si>
  <si>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</si>
  <si>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</si>
  <si>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</si>
  <si>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</si>
  <si>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</si>
  <si>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</si>
  <si>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</si>
  <si>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</si>
  <si>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</si>
  <si>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</si>
  <si>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</si>
  <si>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</si>
  <si>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</si>
  <si>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</si>
  <si>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</si>
  <si>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</si>
  <si>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</si>
  <si>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</si>
  <si>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</si>
  <si>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</si>
  <si>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</si>
  <si>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</si>
  <si>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</si>
  <si>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</si>
  <si>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</si>
  <si>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</si>
  <si>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</si>
  <si>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</si>
  <si>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</si>
  <si>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</si>
  <si>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</si>
  <si>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</si>
  <si>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</si>
  <si>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</si>
  <si>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</si>
  <si>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</si>
  <si>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</si>
  <si>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</si>
  <si>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</si>
  <si>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</si>
  <si>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</si>
  <si>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</si>
  <si>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</si>
  <si>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</si>
  <si>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</si>
  <si>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</si>
  <si>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</si>
  <si>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</si>
  <si>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</si>
  <si>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</si>
  <si>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</si>
  <si>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</si>
  <si>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</si>
  <si>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</si>
  <si>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</si>
  <si>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</si>
  <si>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</si>
  <si>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</si>
  <si>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</si>
  <si>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</si>
  <si>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</si>
  <si>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</si>
  <si>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</si>
  <si>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</si>
  <si>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</si>
  <si>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</si>
  <si>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</si>
  <si>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</si>
  <si>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</si>
  <si>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</si>
  <si>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</si>
  <si>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</si>
  <si>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</si>
  <si>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</si>
  <si>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</si>
  <si>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</si>
  <si>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</si>
  <si>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</si>
  <si>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</si>
  <si>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</si>
  <si>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</si>
  <si>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</si>
  <si>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</si>
  <si>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</si>
  <si>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</si>
  <si>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</si>
  <si>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</si>
  <si>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</si>
  <si>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</si>
  <si>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</si>
  <si>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</si>
  <si>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</si>
  <si>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</si>
  <si>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</si>
  <si>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</si>
  <si>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</si>
  <si>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</si>
  <si>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</si>
  <si>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</si>
  <si>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</si>
  <si>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</si>
  <si>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</si>
  <si>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</si>
  <si>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</si>
  <si>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</si>
  <si>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</si>
  <si>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</si>
  <si>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</si>
  <si>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</si>
  <si>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</si>
  <si>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</si>
  <si>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</si>
  <si>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</si>
  <si>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</si>
  <si>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</si>
  <si>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</si>
  <si>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</si>
  <si>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</si>
  <si>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</si>
  <si>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</si>
  <si>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</si>
  <si>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</si>
  <si>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</si>
  <si>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</si>
  <si>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</si>
  <si>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</si>
  <si>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</si>
  <si>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</si>
  <si>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</si>
  <si>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</si>
  <si>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</si>
  <si>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</si>
  <si>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</si>
  <si>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</si>
  <si>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</si>
  <si>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</si>
  <si>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</si>
  <si>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</si>
  <si>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</si>
  <si>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</si>
  <si>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</si>
  <si>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</si>
  <si>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</si>
  <si>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</si>
  <si>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</si>
  <si>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</si>
  <si>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</si>
  <si>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</si>
  <si>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</si>
  <si>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</si>
  <si>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</si>
  <si>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</si>
  <si>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</si>
  <si>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</si>
  <si>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</si>
  <si>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</si>
  <si>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</si>
  <si>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</si>
  <si>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</si>
  <si>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</si>
  <si>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</si>
  <si>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</si>
  <si>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</si>
  <si>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</si>
  <si>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</si>
  <si>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</si>
  <si>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</si>
  <si>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</si>
  <si>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</si>
  <si>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</si>
  <si>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</si>
  <si>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</si>
  <si>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</si>
  <si>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</si>
  <si>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</si>
  <si>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</si>
  <si>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</si>
  <si>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</si>
  <si>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</si>
  <si>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</si>
  <si>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</si>
  <si>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</si>
  <si>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</si>
  <si>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</si>
  <si>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</si>
  <si>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</si>
  <si>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</si>
  <si>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</si>
  <si>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</si>
  <si>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</si>
  <si>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</si>
  <si>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</si>
  <si>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</si>
  <si>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</si>
  <si>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</si>
  <si>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</si>
  <si>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</si>
  <si>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</si>
  <si>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</si>
  <si>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</si>
  <si>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</si>
  <si>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</si>
  <si>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</si>
  <si>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</si>
  <si>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</si>
  <si>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</si>
  <si>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</si>
  <si>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</si>
  <si>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</si>
  <si>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</si>
  <si>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</si>
  <si>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</si>
  <si>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</si>
  <si>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</si>
  <si>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</si>
  <si>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</si>
  <si>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</si>
  <si>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</si>
  <si>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</si>
  <si>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</si>
  <si>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</si>
  <si>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</si>
  <si>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</si>
  <si>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</si>
  <si>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</si>
  <si>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</si>
  <si>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</si>
  <si>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</si>
  <si>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</si>
  <si>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</si>
  <si>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</si>
  <si>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</si>
  <si>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</si>
  <si>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</si>
  <si>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</si>
  <si>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</si>
  <si>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</si>
  <si>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</si>
  <si>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</si>
  <si>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</si>
  <si>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</si>
  <si>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</si>
  <si>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</si>
  <si>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</si>
  <si>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</si>
  <si>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</si>
  <si>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</si>
  <si>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</si>
  <si>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</si>
  <si>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</si>
  <si>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</si>
  <si>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</si>
  <si>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</si>
  <si>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</si>
  <si>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</si>
  <si>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</si>
  <si>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</si>
  <si>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</si>
  <si>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</si>
  <si>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</si>
  <si>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</si>
  <si>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</si>
  <si>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</si>
  <si>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</si>
  <si>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</si>
  <si>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</si>
  <si>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</si>
  <si>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</si>
  <si>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</si>
  <si>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</si>
  <si>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</si>
  <si>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</si>
  <si>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</si>
  <si>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</si>
  <si>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</si>
  <si>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</si>
  <si>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</si>
  <si>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</si>
  <si>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</si>
  <si>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</si>
  <si>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</si>
  <si>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</si>
  <si>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</si>
  <si>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</si>
  <si>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</si>
  <si>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</si>
  <si>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</si>
  <si>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</si>
  <si>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</si>
  <si>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</si>
  <si>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</si>
  <si>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</si>
  <si>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</si>
  <si>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</si>
  <si>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</si>
  <si>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</si>
  <si>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</si>
  <si>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</si>
  <si>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</si>
  <si>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</si>
  <si>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</si>
  <si>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</si>
  <si>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</si>
  <si>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</si>
  <si>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</si>
  <si>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</si>
  <si>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</si>
  <si>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</si>
  <si>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</si>
  <si>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</si>
  <si>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</si>
  <si>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</si>
  <si>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</si>
  <si>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</si>
  <si>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</si>
  <si>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</si>
  <si>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</si>
  <si>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</si>
  <si>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</si>
  <si>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</si>
  <si>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</si>
  <si>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</si>
  <si>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</si>
  <si>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</si>
  <si>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</si>
  <si>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</si>
  <si>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</si>
  <si>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</si>
  <si>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</si>
  <si>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</si>
  <si>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</si>
  <si>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</si>
  <si>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</si>
  <si>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</si>
  <si>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</si>
  <si>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</si>
  <si>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</si>
  <si>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</si>
  <si>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</si>
  <si>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</si>
  <si>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</si>
  <si>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</si>
  <si>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</si>
  <si>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</si>
  <si>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</si>
  <si>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</si>
  <si>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</si>
  <si>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</si>
  <si>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</si>
  <si>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</si>
  <si>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</si>
  <si>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</si>
  <si>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</si>
  <si>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</si>
  <si>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</si>
  <si>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</si>
  <si>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</si>
  <si>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</si>
  <si>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</si>
  <si>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</si>
  <si>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</si>
  <si>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</si>
  <si>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</si>
  <si>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</si>
  <si>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</si>
  <si>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</si>
  <si>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</si>
  <si>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</si>
  <si>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</si>
  <si>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</si>
  <si>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</si>
  <si>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</si>
  <si>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</si>
  <si>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</si>
  <si>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</si>
  <si>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</si>
  <si>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</si>
  <si>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</si>
  <si>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</si>
  <si>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</si>
  <si>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</si>
  <si>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</si>
  <si>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</si>
  <si>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</si>
  <si>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</si>
  <si>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</si>
  <si>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</si>
  <si>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</si>
  <si>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</si>
  <si>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</si>
  <si>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</si>
  <si>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</si>
  <si>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</si>
  <si>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</si>
  <si>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</si>
  <si>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</si>
  <si>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</si>
  <si>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</si>
  <si>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</si>
  <si>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</si>
  <si>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</si>
  <si>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</si>
  <si>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</si>
  <si>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</si>
  <si>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</si>
  <si>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</si>
  <si>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</si>
  <si>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</si>
  <si>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</si>
  <si>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</si>
  <si>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</si>
  <si>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</si>
  <si>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</si>
  <si>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</si>
  <si>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</si>
  <si>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</si>
  <si>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</si>
  <si>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</si>
  <si>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</si>
  <si>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</si>
  <si>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</si>
  <si>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</si>
  <si>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</si>
  <si>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</si>
  <si>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</si>
  <si>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</si>
  <si>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</si>
  <si>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</si>
  <si>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</si>
  <si>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</si>
  <si>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</si>
  <si>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</si>
  <si>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</si>
  <si>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</si>
  <si>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</si>
  <si>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</si>
  <si>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</si>
  <si>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</si>
  <si>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</si>
  <si>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</si>
  <si>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</si>
  <si>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</si>
  <si>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</si>
  <si>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</si>
  <si>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</si>
  <si>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</si>
  <si>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</si>
  <si>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</si>
  <si>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</si>
  <si>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</si>
  <si>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</si>
  <si>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</si>
  <si>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</si>
  <si>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</si>
  <si>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</si>
  <si>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</si>
  <si>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</si>
  <si>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</si>
  <si>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</si>
  <si>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</si>
  <si>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</si>
  <si>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</si>
  <si>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</si>
  <si>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</si>
  <si>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</si>
  <si>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</si>
  <si>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</si>
  <si>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</si>
  <si>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</si>
  <si>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</si>
  <si>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</si>
  <si>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</si>
  <si>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</si>
  <si>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</si>
  <si>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</si>
  <si>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</si>
  <si>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</si>
  <si>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</si>
  <si>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</si>
  <si>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</si>
  <si>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</si>
  <si>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</si>
  <si>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</si>
  <si>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</si>
  <si>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</si>
  <si>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</si>
  <si>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</si>
  <si>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</si>
  <si>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</si>
  <si>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</si>
  <si>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</si>
  <si>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</si>
  <si>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</si>
  <si>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</si>
  <si>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</si>
  <si>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</si>
  <si>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</si>
  <si>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</si>
  <si>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</si>
  <si>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</si>
  <si>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</si>
  <si>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</si>
  <si>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</si>
  <si>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</si>
  <si>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</si>
  <si>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</si>
  <si>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</si>
  <si>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</si>
  <si>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</si>
  <si>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</si>
  <si>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</si>
  <si>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</si>
  <si>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</si>
  <si>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</si>
  <si>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</si>
  <si>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</si>
  <si>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</si>
  <si>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</si>
  <si>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</si>
  <si>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</si>
  <si>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</si>
  <si>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</si>
  <si>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</si>
  <si>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</si>
  <si>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</si>
  <si>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</si>
  <si>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</si>
  <si>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</si>
  <si>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</si>
  <si>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</si>
  <si>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</si>
  <si>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</si>
  <si>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</si>
  <si>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</si>
  <si>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</si>
  <si>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</si>
  <si>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</si>
  <si>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</si>
  <si>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</si>
  <si>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</si>
  <si>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</si>
  <si>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</si>
  <si>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</si>
  <si>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</si>
  <si>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</si>
  <si>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</si>
  <si>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</si>
  <si>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</si>
  <si>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</si>
  <si>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</si>
  <si>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</si>
  <si>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</si>
  <si>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</si>
  <si>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</si>
  <si>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</si>
  <si>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</si>
  <si>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</si>
  <si>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</si>
  <si>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</si>
  <si>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</si>
  <si>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</si>
  <si>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</si>
  <si>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</si>
  <si>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</si>
  <si>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</si>
  <si>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</si>
  <si>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</si>
  <si>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</si>
  <si>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</si>
  <si>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</si>
  <si>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</si>
  <si>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</si>
  <si>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</si>
  <si>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</si>
  <si>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</si>
  <si>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</si>
  <si>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</si>
  <si>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</si>
  <si>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</si>
  <si>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</si>
  <si>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</si>
  <si>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</si>
  <si>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</si>
  <si>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</si>
  <si>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</si>
  <si>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</si>
  <si>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</si>
  <si>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</si>
  <si>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</si>
  <si>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</si>
  <si>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</si>
  <si>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</si>
  <si>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</si>
  <si>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</si>
  <si>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</si>
  <si>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</si>
  <si>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</si>
  <si>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</si>
  <si>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</si>
  <si>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</si>
  <si>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</si>
  <si>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</si>
  <si>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</si>
  <si>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</si>
  <si>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</si>
  <si>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</si>
  <si>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</si>
  <si>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</si>
  <si>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</si>
  <si>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</si>
  <si>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</si>
  <si>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</si>
  <si>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</si>
  <si>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</si>
  <si>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</si>
  <si>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</si>
  <si>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</si>
  <si>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</si>
  <si>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</si>
  <si>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</si>
  <si>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</si>
  <si>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</si>
  <si>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</si>
  <si>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</si>
  <si>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</si>
  <si>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</si>
  <si>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</si>
  <si>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</si>
  <si>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</si>
  <si>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</si>
  <si>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</si>
  <si>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</si>
  <si>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</si>
  <si>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</si>
  <si>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</si>
  <si>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</si>
  <si>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</si>
  <si>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</si>
  <si>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</si>
  <si>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</si>
  <si>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</si>
  <si>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</si>
  <si>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</si>
  <si>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</si>
  <si>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</si>
  <si>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</si>
  <si>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</si>
  <si>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</si>
  <si>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</si>
  <si>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</si>
  <si>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</si>
  <si>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</si>
  <si>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</si>
  <si>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</si>
  <si>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</si>
  <si>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</si>
  <si>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</si>
  <si>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</si>
  <si>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</si>
  <si>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</si>
  <si>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</si>
  <si>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</si>
  <si>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</si>
  <si>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</si>
  <si>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</si>
  <si>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</si>
  <si>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</si>
  <si>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</si>
  <si>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</si>
  <si>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</si>
  <si>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</si>
  <si>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</si>
  <si>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</si>
  <si>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</si>
  <si>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</si>
  <si>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</si>
  <si>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</si>
  <si>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</si>
  <si>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</si>
  <si>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</si>
  <si>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</si>
  <si>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</si>
  <si>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</si>
  <si>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</si>
  <si>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</si>
  <si>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</si>
  <si>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</si>
  <si>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</si>
  <si>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</si>
  <si>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</si>
  <si>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</si>
  <si>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</si>
  <si>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</si>
  <si>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</si>
  <si>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</si>
  <si>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</si>
  <si>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</si>
  <si>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</si>
  <si>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</si>
  <si>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</si>
  <si>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</si>
  <si>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</si>
  <si>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</si>
  <si>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</si>
  <si>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</si>
  <si>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</si>
  <si>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</si>
  <si>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</si>
  <si>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</si>
  <si>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</si>
  <si>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</si>
  <si>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</si>
  <si>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</si>
  <si>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</si>
  <si>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</si>
  <si>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</si>
  <si>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</si>
  <si>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</si>
  <si>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</si>
  <si>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</si>
  <si>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</si>
  <si>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</si>
  <si>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</si>
  <si>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</si>
  <si>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</si>
  <si>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</si>
  <si>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</si>
  <si>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</si>
  <si>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</si>
  <si>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</si>
  <si>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</si>
  <si>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</si>
  <si>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</si>
  <si>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</si>
  <si>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</si>
  <si>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</si>
  <si>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</si>
  <si>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</si>
  <si>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</si>
  <si>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</si>
  <si>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</si>
  <si>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</si>
  <si>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</si>
  <si>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</si>
  <si>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</si>
  <si>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</si>
  <si>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</si>
  <si>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</si>
  <si>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</si>
  <si>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</si>
  <si>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</si>
  <si>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</si>
  <si>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</si>
  <si>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</si>
  <si>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</si>
  <si>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</si>
  <si>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</si>
  <si>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</si>
  <si>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</si>
  <si>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</si>
  <si>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</si>
  <si>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</si>
  <si>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</si>
  <si>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</si>
  <si>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</si>
  <si>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</si>
  <si>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</si>
  <si>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</si>
  <si>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</si>
  <si>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</si>
  <si>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</si>
  <si>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</si>
  <si>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</si>
  <si>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</si>
  <si>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</si>
  <si>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</si>
  <si>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</si>
  <si>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</si>
  <si>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</si>
  <si>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</si>
  <si>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</si>
  <si>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</si>
  <si>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</si>
  <si>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</si>
  <si>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</si>
  <si>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</si>
  <si>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</si>
  <si>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</si>
  <si>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</si>
  <si>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</si>
  <si>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</si>
  <si>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</si>
  <si>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</si>
  <si>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</si>
  <si>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</si>
  <si>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</si>
  <si>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</si>
  <si>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</si>
  <si>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</si>
  <si>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</si>
  <si>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</si>
  <si>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</si>
  <si>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</si>
  <si>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</si>
  <si>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</si>
  <si>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</si>
  <si>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</si>
  <si>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</si>
  <si>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</si>
  <si>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</si>
  <si>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</si>
  <si>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</si>
  <si>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</si>
  <si>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</si>
  <si>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</si>
  <si>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</si>
  <si>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</si>
  <si>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</si>
  <si>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</si>
  <si>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</si>
  <si>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</si>
  <si>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</si>
  <si>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</si>
  <si>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</si>
  <si>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</si>
  <si>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</si>
  <si>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</si>
  <si>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</si>
  <si>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</si>
  <si>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</si>
  <si>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</si>
  <si>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</si>
  <si>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</si>
  <si>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</si>
  <si>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</si>
  <si>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</si>
  <si>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</si>
  <si>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</si>
  <si>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</si>
  <si>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</si>
  <si>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</si>
  <si>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</si>
  <si>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</si>
  <si>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</si>
  <si>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</si>
  <si>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</si>
  <si>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</si>
  <si>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</si>
  <si>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</si>
  <si>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</si>
  <si>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</si>
  <si>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</si>
  <si>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</si>
  <si>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</si>
  <si>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</si>
  <si>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</si>
  <si>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</si>
  <si>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</si>
  <si>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</si>
  <si>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</si>
  <si>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</si>
  <si>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</si>
  <si>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</si>
  <si>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</si>
  <si>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</si>
  <si>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</si>
  <si>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</si>
  <si>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</si>
  <si>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</si>
  <si>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</si>
  <si>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</si>
  <si>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</si>
  <si>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</si>
  <si>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</si>
  <si>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</si>
  <si>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</si>
  <si>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</si>
  <si>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</si>
  <si>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</si>
  <si>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</si>
  <si>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</si>
  <si>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</si>
  <si>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</si>
  <si>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</si>
  <si>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</si>
  <si>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</si>
  <si>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</si>
  <si>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</si>
  <si>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</si>
  <si>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</si>
  <si>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</si>
  <si>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</si>
  <si>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</si>
  <si>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</si>
  <si>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</si>
  <si>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</si>
  <si>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</si>
  <si>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</si>
  <si>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</si>
  <si>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</si>
  <si>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</si>
  <si>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</si>
  <si>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</si>
  <si>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</si>
  <si>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</si>
  <si>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</si>
  <si>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</si>
  <si>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</si>
  <si>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</si>
  <si>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</si>
  <si>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</si>
  <si>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</si>
  <si>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</si>
  <si>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</si>
  <si>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</si>
  <si>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</si>
  <si>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</si>
  <si>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</si>
  <si>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</si>
  <si>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</si>
  <si>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</si>
  <si>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</si>
  <si>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</si>
  <si>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</si>
  <si>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</si>
  <si>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</si>
  <si>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</si>
  <si>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</si>
  <si>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</si>
  <si>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</si>
  <si>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</si>
  <si>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</si>
  <si>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</si>
  <si>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</si>
  <si>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</si>
  <si>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</si>
  <si>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</si>
  <si>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</si>
  <si>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</si>
  <si>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</si>
  <si>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</si>
  <si>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</si>
  <si>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</si>
  <si>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</si>
  <si>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</si>
  <si>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</si>
  <si>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</si>
  <si>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</si>
  <si>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</si>
  <si>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</si>
  <si>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</si>
  <si>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</si>
  <si>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</si>
  <si>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</si>
  <si>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</si>
  <si>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</si>
  <si>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</si>
  <si>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</si>
  <si>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</si>
  <si>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</si>
  <si>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</si>
  <si>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</si>
  <si>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</si>
  <si>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</si>
  <si>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</si>
  <si>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</si>
  <si>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</si>
  <si>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</si>
  <si>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</si>
  <si>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</si>
  <si>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</si>
  <si>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</si>
  <si>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</si>
  <si>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</si>
  <si>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</si>
  <si>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</si>
  <si>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</si>
  <si>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</si>
  <si>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</si>
  <si>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</si>
  <si>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</si>
  <si>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</si>
  <si>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</si>
  <si>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</si>
  <si>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</si>
  <si>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</si>
  <si>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</si>
  <si>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</si>
  <si>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</si>
  <si>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</si>
  <si>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</si>
  <si>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</si>
  <si>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</si>
  <si>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</si>
  <si>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</si>
  <si>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</si>
  <si>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</si>
  <si>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</si>
  <si>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</si>
  <si>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</si>
  <si>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</si>
  <si>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</si>
  <si>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</si>
  <si>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</si>
  <si>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</si>
  <si>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</si>
  <si>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</si>
  <si>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</si>
  <si>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</si>
  <si>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</si>
  <si>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</si>
  <si>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</si>
  <si>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</si>
  <si>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</si>
  <si>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</si>
  <si>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</si>
  <si>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</si>
  <si>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</si>
  <si>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</si>
  <si>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</si>
  <si>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</si>
  <si>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</si>
  <si>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</si>
  <si>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</si>
  <si>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</si>
  <si>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</si>
  <si>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</si>
  <si>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</si>
  <si>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</si>
  <si>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</si>
  <si>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</si>
  <si>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</si>
  <si>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</si>
  <si>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</si>
  <si>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</si>
  <si>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</si>
  <si>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</si>
  <si>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</si>
  <si>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</si>
  <si>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</si>
  <si>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</si>
  <si>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</si>
  <si>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</si>
  <si>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</si>
  <si>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</si>
  <si>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</si>
  <si>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</si>
  <si>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</si>
  <si>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</si>
  <si>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</si>
  <si>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</si>
  <si>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</si>
  <si>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</si>
  <si>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</si>
  <si>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</si>
  <si>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</si>
  <si>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</si>
  <si>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</si>
  <si>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</si>
  <si>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</si>
  <si>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</si>
  <si>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</si>
  <si>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</si>
  <si>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</si>
  <si>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</si>
  <si>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</si>
  <si>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</si>
  <si>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</si>
  <si>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</si>
  <si>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</si>
  <si>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</si>
  <si>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</si>
  <si>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</si>
  <si>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</si>
  <si>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</si>
  <si>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</si>
  <si>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</si>
  <si>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</si>
  <si>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</si>
  <si>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</si>
  <si>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</si>
  <si>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</si>
  <si>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</si>
  <si>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</si>
  <si>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</si>
  <si>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</si>
  <si>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</si>
  <si>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</si>
  <si>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</si>
  <si>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</si>
  <si>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</si>
  <si>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</si>
  <si>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</si>
  <si>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</si>
  <si>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</si>
  <si>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</si>
  <si>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</si>
  <si>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</si>
  <si>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</si>
  <si>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</si>
  <si>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</si>
  <si>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</si>
  <si>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</si>
  <si>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</si>
  <si>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</si>
  <si>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</si>
  <si>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</si>
  <si>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</si>
  <si>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</si>
  <si>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</si>
  <si>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</si>
  <si>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</si>
  <si>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</si>
  <si>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</si>
  <si>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</si>
  <si>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</si>
  <si>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</si>
  <si>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</si>
  <si>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</si>
  <si>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</si>
  <si>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</si>
  <si>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</si>
  <si>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</si>
  <si>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</si>
  <si>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</si>
  <si>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</si>
  <si>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</si>
  <si>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</si>
  <si>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</si>
  <si>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</si>
  <si>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</si>
  <si>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</si>
  <si>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</si>
  <si>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</si>
  <si>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</si>
  <si>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</si>
  <si>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</si>
  <si>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</si>
  <si>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</si>
  <si>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</si>
  <si>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</si>
  <si>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</si>
  <si>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</si>
  <si>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</si>
  <si>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</si>
  <si>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</si>
  <si>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</si>
  <si>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</si>
  <si>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</si>
  <si>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</si>
  <si>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</si>
  <si>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</si>
  <si>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</si>
  <si>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</si>
  <si>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</si>
  <si>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</si>
  <si>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</si>
  <si>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</si>
  <si>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</si>
  <si>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</si>
  <si>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</si>
  <si>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</si>
  <si>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</si>
  <si>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</si>
  <si>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</si>
  <si>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</si>
  <si>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</si>
  <si>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</si>
  <si>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</si>
  <si>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</si>
  <si>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</si>
  <si>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</si>
  <si>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</si>
  <si>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</si>
  <si>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</si>
  <si>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</si>
  <si>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</si>
  <si>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</si>
  <si>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</si>
  <si>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</si>
  <si>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</si>
  <si>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</si>
  <si>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</si>
  <si>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</si>
  <si>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</si>
  <si>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</si>
  <si>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</si>
  <si>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</si>
  <si>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</si>
  <si>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</si>
  <si>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</si>
  <si>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</si>
  <si>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</si>
  <si>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</si>
  <si>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</si>
  <si>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</si>
  <si>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</si>
  <si>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</si>
  <si>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</si>
  <si>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</si>
  <si>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</si>
  <si>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</si>
  <si>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</si>
  <si>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</si>
  <si>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</si>
  <si>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</si>
  <si>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</si>
  <si>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</si>
  <si>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</si>
  <si>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</si>
  <si>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</si>
  <si>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</si>
  <si>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</si>
  <si>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</si>
  <si>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</si>
  <si>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</si>
  <si>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</si>
  <si>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</si>
  <si>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</si>
  <si>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</si>
  <si>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</si>
  <si>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</si>
  <si>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</si>
  <si>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</si>
  <si>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</si>
  <si>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</si>
  <si>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</si>
  <si>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</si>
  <si>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</si>
  <si>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</si>
  <si>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</si>
  <si>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</si>
  <si>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</si>
  <si>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</si>
  <si>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</si>
  <si>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</si>
  <si>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</si>
  <si>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</si>
  <si>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</si>
  <si>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</si>
  <si>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</si>
  <si>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</si>
  <si>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</si>
  <si>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</si>
  <si>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</si>
  <si>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</si>
  <si>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</si>
  <si>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</si>
  <si>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</si>
  <si>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</si>
  <si>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</si>
  <si>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</si>
  <si>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</si>
  <si>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</si>
  <si>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</si>
  <si>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</si>
  <si>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</si>
  <si>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</si>
  <si>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</si>
  <si>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</si>
  <si>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</si>
  <si>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</si>
  <si>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</si>
  <si>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</si>
  <si>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</si>
  <si>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</si>
  <si>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</si>
  <si>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</si>
  <si>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</si>
  <si>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</si>
  <si>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</si>
  <si>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</si>
  <si>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</si>
  <si>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</si>
  <si>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</si>
  <si>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</si>
  <si>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</si>
  <si>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</si>
  <si>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</si>
  <si>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</si>
  <si>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</si>
  <si>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</si>
  <si>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</si>
  <si>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</si>
  <si>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</si>
  <si>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</si>
  <si>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</si>
  <si>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</si>
  <si>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</si>
  <si>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</si>
  <si>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</si>
  <si>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</si>
  <si>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</si>
  <si>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</si>
  <si>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</si>
  <si>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</si>
  <si>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</si>
  <si>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</si>
  <si>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</si>
  <si>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</si>
  <si>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</si>
  <si>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</si>
  <si>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</si>
  <si>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</si>
  <si>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</si>
  <si>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</si>
  <si>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</si>
  <si>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</si>
  <si>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</si>
  <si>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</si>
  <si>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</si>
  <si>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</si>
  <si>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</si>
  <si>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</si>
  <si>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</si>
  <si>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</si>
  <si>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</si>
  <si>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</si>
  <si>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</si>
  <si>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</si>
  <si>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</si>
  <si>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</si>
  <si>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</si>
  <si>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</si>
  <si>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</si>
  <si>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</si>
  <si>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</si>
  <si>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</si>
  <si>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</si>
  <si>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</si>
  <si>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</si>
  <si>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</si>
  <si>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</si>
  <si>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</si>
  <si>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</si>
  <si>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</si>
  <si>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</si>
  <si>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</si>
  <si>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</si>
  <si>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</si>
  <si>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</si>
  <si>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</si>
  <si>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</si>
  <si>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</si>
  <si>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</si>
  <si>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</si>
  <si>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</si>
  <si>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</si>
  <si>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</si>
  <si>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</si>
  <si>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</si>
  <si>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</si>
  <si>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</si>
  <si>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</si>
  <si>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</si>
  <si>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</si>
  <si>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</si>
  <si>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</si>
  <si>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</si>
  <si>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</si>
  <si>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</si>
  <si>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</si>
  <si>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</si>
  <si>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</si>
  <si>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</si>
  <si>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</si>
  <si>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</si>
  <si>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</si>
  <si>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</si>
  <si>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</si>
  <si>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</si>
  <si>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</si>
  <si>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</si>
  <si>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</si>
  <si>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</si>
  <si>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</si>
  <si>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</si>
  <si>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</si>
  <si>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</si>
  <si>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</si>
  <si>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</si>
  <si>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</si>
  <si>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</si>
  <si>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</si>
  <si>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</si>
  <si>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</si>
  <si>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</si>
  <si>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</si>
  <si>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</si>
  <si>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</si>
  <si>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</si>
  <si>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</si>
  <si>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</si>
  <si>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</si>
  <si>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</si>
  <si>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</si>
  <si>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</si>
  <si>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</si>
  <si>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</si>
  <si>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</si>
  <si>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</si>
  <si>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</si>
  <si>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</si>
  <si>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</si>
  <si>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</si>
  <si>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</si>
  <si>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</si>
  <si>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</si>
  <si>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</si>
  <si>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</si>
  <si>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</si>
  <si>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</si>
  <si>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</si>
  <si>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</si>
  <si>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</si>
  <si>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</si>
  <si>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</si>
  <si>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</si>
  <si>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</si>
  <si>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</si>
  <si>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</si>
  <si>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</si>
  <si>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</si>
  <si>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</si>
  <si>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</si>
  <si>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</si>
  <si>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</si>
  <si>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</si>
  <si>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</si>
  <si>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</si>
  <si>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</si>
  <si>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</si>
  <si>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</si>
  <si>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</si>
  <si>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</si>
  <si>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</si>
  <si>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</si>
  <si>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</si>
  <si>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</si>
  <si>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</si>
  <si>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</si>
  <si>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</si>
  <si>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</si>
  <si>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</si>
  <si>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</si>
  <si>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</si>
  <si>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</si>
  <si>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</si>
  <si>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</si>
  <si>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</si>
  <si>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</si>
  <si>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</si>
  <si>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</si>
  <si>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</si>
  <si>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</si>
  <si>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</si>
  <si>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</si>
  <si>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</si>
  <si>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</si>
  <si>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</si>
  <si>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</si>
  <si>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</si>
  <si>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</si>
  <si>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</si>
  <si>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</si>
  <si>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</si>
  <si>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</si>
  <si>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</si>
  <si>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</si>
  <si>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</si>
  <si>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</si>
  <si>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</si>
  <si>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</si>
  <si>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</si>
  <si>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</si>
  <si>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</si>
  <si>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</si>
  <si>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</si>
  <si>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</si>
  <si>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</si>
  <si>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</si>
  <si>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</si>
  <si>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</si>
  <si>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</si>
  <si>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</si>
  <si>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</si>
  <si>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</si>
  <si>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</si>
  <si>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</si>
  <si>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</si>
  <si>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</si>
  <si>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</si>
  <si>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</si>
  <si>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</si>
  <si>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</si>
  <si>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</si>
  <si>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</si>
  <si>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</si>
  <si>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</si>
  <si>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</si>
  <si>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</si>
  <si>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</si>
  <si>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</si>
  <si>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</si>
  <si>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</si>
  <si>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</si>
  <si>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</si>
  <si>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</si>
  <si>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</si>
  <si>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</si>
  <si>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</si>
  <si>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</si>
  <si>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</si>
  <si>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</si>
  <si>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</si>
  <si>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</si>
  <si>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</si>
  <si>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</si>
  <si>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</si>
  <si>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</si>
  <si>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</si>
  <si>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</si>
  <si>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</si>
  <si>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</si>
  <si>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</si>
  <si>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</si>
  <si>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</si>
  <si>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</si>
  <si>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</si>
  <si>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</si>
  <si>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</si>
  <si>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</si>
  <si>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</si>
  <si>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</si>
  <si>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</si>
  <si>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</si>
  <si>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</si>
  <si>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</si>
  <si>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</si>
  <si>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</si>
  <si>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</si>
  <si>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</si>
  <si>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</si>
  <si>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</si>
  <si>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</si>
  <si>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</si>
  <si>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</si>
  <si>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</si>
  <si>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</si>
  <si>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</si>
  <si>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</si>
  <si>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</si>
  <si>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</si>
  <si>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</si>
  <si>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</si>
  <si>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</si>
  <si>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</si>
  <si>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</si>
  <si>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</si>
  <si>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</si>
  <si>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</si>
  <si>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</si>
  <si>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</si>
  <si>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</si>
  <si>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</si>
  <si>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</si>
  <si>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</si>
  <si>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</si>
  <si>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</si>
  <si>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</si>
  <si>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</si>
  <si>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</si>
  <si>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</si>
  <si>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</si>
  <si>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</si>
  <si>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</si>
  <si>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</si>
  <si>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</si>
  <si>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</si>
  <si>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</si>
  <si>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</si>
  <si>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</si>
  <si>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</si>
  <si>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</si>
  <si>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</si>
  <si>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</si>
  <si>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</si>
  <si>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</si>
  <si>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</si>
  <si>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</si>
  <si>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</si>
  <si>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</si>
  <si>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</si>
  <si>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</si>
  <si>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</si>
  <si>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</si>
  <si>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</si>
  <si>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</si>
  <si>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</si>
  <si>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</si>
  <si>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</si>
  <si>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</si>
  <si>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</si>
  <si>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</si>
  <si>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</si>
  <si>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</si>
  <si>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</si>
  <si>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</si>
  <si>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</si>
  <si>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</si>
  <si>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</si>
  <si>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</si>
  <si>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</si>
  <si>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</si>
  <si>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</si>
  <si>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</si>
  <si>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</si>
  <si>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</si>
  <si>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</si>
  <si>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</si>
  <si>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</si>
  <si>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</si>
  <si>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</si>
  <si>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</si>
  <si>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</si>
  <si>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</si>
  <si>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</si>
  <si>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</si>
  <si>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</si>
  <si>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</si>
  <si>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</si>
  <si>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</si>
  <si>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</si>
  <si>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</si>
  <si>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</si>
  <si>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</si>
  <si>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</si>
  <si>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</si>
  <si>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</si>
  <si>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</si>
  <si>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</si>
  <si>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</si>
  <si>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</si>
  <si>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</si>
  <si>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</si>
  <si>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</si>
  <si>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</si>
  <si>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</si>
  <si>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</si>
  <si>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</si>
  <si>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</si>
  <si>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</si>
  <si>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</si>
  <si>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</si>
  <si>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</si>
  <si>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</si>
  <si>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</si>
  <si>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</si>
  <si>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</si>
  <si>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</si>
  <si>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</si>
  <si>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</si>
  <si>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</si>
  <si>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</si>
  <si>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</si>
  <si>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</si>
  <si>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</si>
  <si>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</si>
  <si>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</si>
  <si>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</si>
  <si>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</si>
  <si>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</si>
  <si>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</si>
  <si>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</si>
  <si>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</si>
  <si>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</si>
  <si>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</si>
  <si>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</si>
  <si>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</si>
  <si>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</si>
  <si>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</si>
  <si>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</si>
  <si>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</si>
  <si>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</si>
  <si>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</si>
  <si>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</si>
  <si>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</si>
  <si>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</si>
  <si>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</si>
  <si>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</si>
  <si>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</si>
  <si>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</si>
  <si>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</si>
  <si>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</si>
  <si>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</si>
  <si>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</si>
  <si>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</si>
  <si>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</si>
  <si>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</si>
  <si>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</si>
  <si>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</si>
  <si>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</si>
  <si>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</si>
  <si>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</si>
  <si>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</si>
  <si>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</si>
  <si>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</si>
  <si>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</si>
  <si>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</si>
  <si>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</si>
  <si>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</si>
  <si>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</si>
  <si>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</si>
  <si>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</si>
  <si>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</si>
  <si>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</si>
  <si>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</si>
  <si>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</si>
  <si>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</si>
  <si>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</si>
  <si>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</si>
  <si>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</si>
  <si>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</si>
  <si>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</si>
  <si>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</si>
  <si>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</si>
  <si>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</si>
  <si>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</si>
  <si>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</si>
  <si>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</si>
  <si>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</si>
  <si>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</si>
  <si>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</si>
  <si>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</si>
  <si>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</si>
  <si>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</si>
  <si>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</si>
  <si>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</si>
  <si>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</si>
  <si>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</si>
  <si>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</si>
  <si>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</si>
  <si>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</si>
  <si>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</si>
  <si>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</si>
  <si>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</si>
  <si>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</si>
  <si>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</si>
  <si>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</si>
  <si>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</si>
  <si>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</si>
  <si>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</si>
  <si>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</si>
  <si>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</si>
  <si>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</si>
  <si>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</si>
  <si>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</si>
  <si>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</si>
  <si>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</si>
  <si>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</si>
  <si>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</si>
  <si>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</si>
  <si>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</si>
  <si>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</si>
  <si>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</si>
  <si>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</si>
  <si>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</si>
  <si>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</si>
  <si>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</si>
  <si>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</si>
  <si>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</si>
  <si>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</si>
  <si>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</si>
  <si>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</si>
  <si>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</si>
  <si>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</si>
  <si>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</si>
  <si>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</si>
  <si>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</si>
  <si>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</si>
  <si>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</si>
  <si>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</si>
  <si>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</si>
  <si>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</si>
  <si>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</si>
  <si>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</si>
  <si>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</si>
  <si>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</si>
  <si>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</si>
  <si>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</si>
  <si>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</si>
  <si>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</si>
  <si>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</si>
  <si>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</si>
  <si>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</si>
  <si>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</si>
  <si>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</si>
  <si>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</si>
  <si>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</si>
  <si>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</si>
  <si>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</si>
  <si>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</si>
  <si>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</si>
  <si>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</si>
  <si>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</si>
  <si>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</si>
  <si>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</si>
  <si>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</si>
  <si>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</si>
  <si>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</si>
  <si>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</si>
  <si>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</si>
  <si>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</si>
  <si>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</si>
  <si>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</si>
  <si>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</si>
  <si>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</si>
  <si>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</si>
  <si>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</si>
  <si>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</si>
  <si>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</si>
  <si>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</si>
  <si>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</si>
  <si>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</si>
  <si>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</si>
  <si>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</si>
  <si>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</si>
  <si>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</si>
  <si>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</si>
  <si>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</si>
  <si>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</si>
  <si>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</si>
  <si>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</si>
  <si>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</si>
  <si>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</si>
  <si>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</si>
  <si>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</si>
  <si>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</si>
  <si>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</si>
  <si>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</si>
  <si>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</si>
  <si>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</si>
  <si>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</si>
  <si>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</si>
  <si>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</si>
  <si>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</si>
  <si>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</si>
  <si>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</si>
  <si>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</si>
  <si>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</si>
  <si>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</si>
  <si>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</si>
  <si>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</si>
  <si>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</si>
  <si>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</si>
  <si>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</si>
  <si>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</si>
  <si>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</si>
  <si>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</si>
  <si>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</si>
  <si>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</si>
  <si>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</si>
  <si>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</si>
  <si>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</si>
  <si>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</si>
  <si>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</si>
  <si>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</si>
  <si>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</si>
  <si>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</si>
  <si>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</si>
  <si>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</si>
  <si>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</si>
  <si>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</si>
  <si>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</si>
  <si>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</si>
  <si>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</si>
  <si>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</si>
  <si>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</si>
  <si>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</si>
  <si>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</si>
  <si>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</si>
  <si>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</si>
  <si>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</si>
  <si>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</si>
  <si>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</si>
  <si>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</si>
  <si>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</si>
  <si>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</si>
  <si>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</si>
  <si>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</si>
  <si>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</si>
  <si>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</si>
  <si>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</si>
  <si>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</si>
  <si>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</si>
  <si>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</si>
  <si>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</si>
  <si>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</si>
  <si>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</si>
  <si>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</si>
  <si>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</si>
  <si>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</si>
  <si>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</si>
  <si>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</si>
  <si>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</si>
  <si>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</si>
  <si>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</si>
  <si>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</si>
  <si>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</si>
  <si>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</si>
  <si>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</si>
  <si>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</si>
  <si>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</si>
  <si>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</si>
  <si>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</si>
  <si>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</si>
  <si>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</si>
  <si>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</si>
  <si>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</si>
  <si>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</si>
  <si>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</si>
  <si>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</si>
  <si>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</si>
  <si>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</si>
  <si>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</si>
  <si>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</si>
  <si>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</si>
  <si>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</si>
  <si>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</si>
  <si>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</si>
  <si>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</si>
  <si>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</si>
  <si>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</si>
  <si>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</si>
  <si>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</si>
  <si>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</si>
  <si>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</si>
  <si>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</si>
  <si>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</si>
  <si>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</si>
  <si>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</si>
  <si>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</si>
  <si>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</si>
  <si>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</si>
  <si>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</si>
  <si>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</si>
  <si>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</si>
  <si>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</si>
  <si>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</si>
  <si>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</si>
  <si>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</si>
  <si>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</si>
  <si>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</si>
  <si>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</si>
  <si>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</si>
  <si>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</si>
  <si>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</si>
  <si>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</si>
  <si>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</si>
  <si>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</si>
  <si>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</si>
  <si>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</si>
  <si>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</si>
  <si>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</si>
  <si>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</si>
  <si>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</si>
  <si>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</si>
  <si>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</si>
  <si>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</si>
  <si>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</si>
  <si>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</si>
  <si>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</si>
  <si>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</si>
  <si>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</si>
  <si>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</si>
  <si>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</si>
  <si>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</si>
  <si>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</si>
  <si>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</si>
  <si>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</si>
  <si>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</si>
  <si>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</si>
  <si>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</si>
  <si>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</si>
  <si>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</si>
  <si>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</si>
  <si>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</si>
  <si>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</si>
  <si>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</si>
  <si>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</si>
  <si>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</si>
  <si>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</si>
  <si>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</si>
  <si>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</si>
  <si>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</si>
  <si>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</si>
  <si>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</si>
  <si>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</si>
  <si>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</si>
  <si>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</si>
  <si>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</si>
  <si>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</si>
  <si>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</si>
  <si>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</si>
  <si>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</si>
  <si>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</si>
  <si>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</si>
  <si>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</si>
  <si>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</si>
  <si>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</si>
  <si>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</si>
  <si>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</si>
  <si>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</si>
  <si>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</si>
  <si>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</si>
  <si>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</si>
  <si>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</si>
  <si>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</si>
  <si>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</si>
  <si>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</si>
  <si>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</si>
  <si>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</si>
  <si>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</si>
  <si>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</si>
  <si>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</si>
  <si>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</si>
  <si>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</si>
  <si>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</si>
  <si>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</si>
  <si>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</si>
  <si>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</si>
  <si>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</si>
  <si>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</si>
  <si>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</si>
  <si>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</si>
  <si>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</si>
  <si>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</si>
  <si>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</si>
  <si>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</si>
  <si>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</si>
  <si>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</si>
  <si>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</si>
  <si>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</si>
  <si>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</si>
  <si>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</si>
  <si>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</si>
  <si>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</si>
  <si>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</si>
  <si>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</si>
  <si>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</si>
  <si>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</si>
  <si>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</si>
  <si>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</si>
  <si>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</si>
  <si>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</si>
  <si>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</si>
  <si>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</si>
  <si>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</si>
  <si>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</si>
  <si>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</si>
  <si>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</si>
  <si>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</si>
  <si>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</si>
  <si>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</si>
  <si>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</si>
  <si>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</si>
  <si>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</si>
  <si>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</si>
  <si>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</si>
  <si>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</si>
  <si>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</si>
  <si>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</si>
  <si>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</si>
  <si>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</si>
  <si>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</si>
  <si>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</si>
  <si>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</si>
  <si>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</si>
  <si>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</si>
  <si>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</si>
  <si>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</si>
  <si>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</si>
  <si>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</si>
  <si>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</si>
  <si>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</si>
  <si>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</si>
  <si>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</si>
  <si>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</si>
  <si>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</si>
  <si>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</si>
  <si>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</si>
  <si>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</si>
  <si>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</si>
  <si>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</si>
  <si>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</si>
  <si>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</si>
  <si>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</si>
  <si>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</si>
  <si>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</si>
  <si>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</si>
  <si>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</si>
  <si>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</si>
  <si>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</si>
  <si>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</si>
  <si>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</si>
  <si>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</si>
  <si>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</si>
  <si>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</si>
  <si>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</si>
  <si>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</si>
  <si>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</si>
  <si>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</si>
  <si>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</si>
  <si>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</si>
  <si>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</si>
  <si>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</si>
  <si>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</si>
  <si>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</si>
  <si>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</si>
  <si>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</si>
  <si>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</si>
  <si>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</si>
  <si>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</si>
  <si>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</si>
  <si>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</si>
  <si>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</si>
  <si>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</si>
  <si>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</si>
  <si>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</si>
  <si>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</si>
  <si>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</si>
  <si>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</si>
  <si>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</si>
  <si>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</si>
  <si>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</si>
  <si>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</si>
  <si>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</si>
  <si>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</si>
  <si>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</si>
  <si>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</si>
  <si>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</si>
  <si>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</si>
  <si>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</si>
  <si>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</si>
  <si>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</si>
  <si>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</si>
  <si>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</si>
  <si>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</si>
  <si>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</si>
  <si>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</si>
  <si>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</si>
  <si>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</si>
  <si>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</si>
  <si>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</si>
  <si>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</si>
  <si>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</si>
  <si>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</si>
  <si>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</si>
  <si>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</si>
  <si>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</si>
  <si>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</si>
  <si>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</si>
  <si>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</si>
  <si>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</si>
  <si>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</si>
  <si>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</si>
  <si>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</si>
  <si>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</si>
  <si>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</si>
  <si>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</si>
  <si>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</si>
  <si>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</si>
  <si>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</si>
  <si>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</si>
  <si>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</si>
  <si>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</si>
  <si>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</si>
  <si>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</si>
  <si>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</si>
  <si>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</si>
  <si>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</si>
  <si>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</si>
  <si>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</si>
  <si>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</si>
  <si>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</si>
  <si>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</si>
  <si>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</si>
  <si>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</si>
  <si>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</si>
  <si>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</si>
  <si>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</si>
  <si>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</si>
  <si>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</si>
  <si>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</si>
  <si>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</si>
  <si>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</si>
  <si>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</si>
  <si>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</si>
  <si>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</si>
  <si>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</si>
  <si>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</si>
  <si>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</si>
  <si>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</si>
  <si>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</si>
  <si>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</si>
  <si>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</si>
  <si>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</si>
  <si>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</si>
  <si>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</si>
  <si>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</si>
  <si>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</si>
  <si>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</si>
  <si>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</si>
  <si>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</si>
  <si>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</si>
  <si>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</si>
  <si>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</si>
  <si>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</si>
  <si>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</si>
  <si>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</si>
  <si>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</si>
  <si>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</si>
  <si>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</si>
  <si>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</si>
  <si>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</si>
  <si>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</si>
  <si>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</si>
  <si>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</si>
  <si>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</si>
  <si>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</si>
  <si>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</si>
  <si>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</si>
  <si>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</si>
  <si>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</si>
  <si>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</si>
  <si>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</si>
  <si>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</si>
  <si>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</si>
  <si>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</si>
  <si>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</si>
  <si>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</si>
  <si>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</si>
  <si>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</si>
  <si>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</si>
  <si>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</si>
  <si>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</si>
  <si>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</si>
  <si>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</si>
  <si>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</si>
  <si>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</si>
  <si>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</si>
  <si>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</si>
  <si>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</si>
  <si>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</si>
  <si>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</si>
  <si>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</si>
  <si>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</si>
  <si>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</si>
  <si>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</si>
  <si>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</si>
  <si>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</si>
  <si>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</si>
  <si>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</si>
  <si>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</si>
  <si>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</si>
  <si>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</si>
  <si>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</si>
  <si>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</si>
  <si>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</si>
  <si>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</si>
  <si>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</si>
  <si>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</si>
  <si>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</si>
  <si>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</si>
  <si>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</si>
  <si>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</si>
  <si>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</si>
  <si>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</si>
  <si>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</si>
  <si>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</si>
  <si>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</si>
  <si>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</si>
  <si>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</si>
  <si>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</si>
  <si>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</si>
  <si>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</si>
  <si>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</si>
  <si>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</si>
  <si>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</si>
  <si>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</si>
  <si>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</si>
  <si>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</si>
  <si>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</si>
  <si>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</si>
  <si>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</si>
  <si>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</si>
  <si>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</si>
  <si>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</si>
  <si>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</si>
  <si>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</si>
  <si>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</si>
  <si>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</si>
  <si>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</si>
  <si>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</si>
  <si>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</si>
  <si>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</si>
  <si>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</si>
  <si>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</si>
  <si>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</si>
  <si>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</si>
  <si>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</si>
  <si>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</si>
  <si>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</si>
  <si>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</si>
  <si>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</si>
  <si>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</si>
  <si>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</si>
  <si>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</si>
  <si>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</si>
  <si>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</si>
  <si>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</si>
  <si>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</si>
  <si>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</si>
  <si>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</si>
  <si>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</si>
  <si>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</si>
  <si>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</si>
  <si>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</si>
  <si>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</si>
  <si>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</si>
  <si>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</si>
  <si>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</si>
  <si>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</si>
  <si>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</si>
  <si>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</si>
  <si>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</si>
  <si>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</si>
  <si>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</si>
  <si>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</si>
  <si>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</si>
  <si>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</si>
  <si>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</si>
  <si>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</si>
  <si>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</si>
  <si>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</si>
  <si>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</si>
  <si>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</si>
  <si>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</si>
  <si>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</si>
  <si>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</si>
  <si>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</si>
  <si>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</si>
  <si>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</si>
  <si>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</si>
  <si>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</si>
  <si>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</si>
  <si>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</si>
  <si>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</si>
  <si>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</si>
  <si>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</si>
  <si>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</si>
  <si>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</si>
  <si>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</si>
  <si>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</si>
  <si>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</si>
  <si>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</si>
  <si>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</si>
  <si>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</si>
  <si>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</si>
  <si>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</si>
  <si>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</si>
  <si>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</si>
  <si>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</si>
  <si>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</si>
  <si>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</si>
  <si>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</si>
  <si>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</si>
  <si>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</si>
  <si>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</si>
  <si>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</si>
  <si>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</si>
  <si>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</si>
  <si>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</si>
  <si>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</si>
  <si>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</si>
  <si>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</si>
  <si>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</si>
  <si>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</si>
  <si>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</si>
  <si>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</si>
  <si>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</si>
  <si>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</si>
  <si>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</si>
  <si>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</si>
  <si>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</si>
  <si>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</si>
  <si>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</si>
  <si>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</si>
  <si>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</si>
  <si>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</si>
  <si>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</si>
  <si>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</si>
  <si>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</si>
  <si>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</si>
  <si>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</si>
  <si>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</si>
  <si>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</si>
  <si>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</si>
  <si>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</si>
  <si>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</si>
  <si>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</si>
  <si>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</si>
  <si>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</si>
  <si>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</si>
  <si>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</si>
  <si>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</si>
  <si>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</si>
  <si>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</si>
  <si>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</si>
  <si>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</si>
  <si>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</si>
  <si>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</si>
  <si>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</si>
  <si>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</si>
  <si>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</si>
  <si>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</si>
  <si>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</si>
  <si>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</si>
  <si>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</si>
  <si>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</si>
  <si>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</si>
  <si>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</si>
  <si>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</si>
  <si>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</si>
  <si>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</si>
  <si>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</si>
  <si>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</si>
  <si>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</si>
  <si>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</si>
  <si>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</si>
  <si>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</si>
  <si>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</si>
  <si>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</si>
  <si>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</si>
  <si>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</si>
  <si>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</si>
  <si>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</si>
  <si>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</si>
  <si>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</si>
  <si>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</si>
  <si>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</si>
  <si>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</si>
  <si>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</si>
  <si>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</si>
  <si>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</si>
  <si>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</si>
  <si>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</si>
  <si>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</si>
  <si>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</si>
  <si>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</si>
  <si>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</si>
  <si>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</si>
  <si>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</si>
  <si>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</si>
  <si>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</si>
  <si>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</si>
  <si>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</si>
  <si>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</si>
  <si>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</si>
  <si>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</si>
  <si>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</si>
  <si>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</si>
  <si>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</si>
  <si>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</si>
  <si>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</si>
  <si>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</si>
  <si>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</si>
  <si>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</si>
  <si>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</si>
  <si>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</si>
  <si>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</si>
  <si>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</si>
  <si>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</si>
  <si>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</si>
  <si>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</si>
  <si>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</si>
  <si>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</si>
  <si>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</si>
  <si>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</si>
  <si>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</si>
  <si>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</si>
  <si>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</si>
  <si>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</si>
  <si>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</si>
  <si>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</si>
  <si>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</si>
  <si>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</si>
  <si>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</si>
  <si>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</si>
  <si>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</si>
  <si>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</si>
  <si>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</si>
  <si>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</si>
  <si>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</si>
  <si>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</si>
  <si>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</si>
  <si>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</si>
  <si>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</si>
  <si>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</si>
  <si>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</si>
  <si>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</si>
  <si>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</si>
  <si>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</si>
  <si>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</si>
  <si>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</si>
  <si>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</si>
  <si>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</si>
  <si>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</si>
  <si>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</si>
  <si>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</si>
  <si>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</si>
  <si>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</si>
  <si>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</si>
  <si>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</si>
  <si>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</si>
  <si>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</si>
  <si>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</si>
  <si>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</si>
  <si>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</si>
  <si>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</si>
  <si>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</si>
  <si>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</si>
  <si>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</si>
  <si>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</si>
  <si>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</si>
  <si>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</si>
  <si>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</si>
  <si>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</si>
  <si>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</si>
  <si>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</si>
  <si>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</si>
  <si>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</si>
  <si>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</si>
  <si>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</si>
  <si>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</si>
  <si>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</si>
  <si>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</si>
  <si>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</si>
  <si>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</si>
  <si>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</si>
  <si>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</si>
  <si>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</si>
  <si>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</si>
  <si>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</si>
  <si>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</si>
  <si>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</si>
  <si>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</si>
  <si>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</si>
  <si>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</si>
  <si>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</si>
  <si>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</si>
  <si>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</si>
  <si>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</si>
  <si>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</si>
  <si>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</si>
  <si>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</si>
  <si>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</si>
  <si>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</si>
  <si>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</si>
  <si>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</si>
  <si>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</si>
  <si>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</si>
  <si>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</si>
  <si>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</si>
  <si>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</si>
  <si>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</si>
  <si>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</si>
  <si>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</si>
  <si>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</si>
  <si>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</si>
  <si>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</si>
  <si>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</si>
  <si>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</si>
  <si>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</si>
  <si>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</si>
  <si>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</si>
  <si>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</si>
  <si>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</si>
  <si>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</si>
  <si>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</si>
  <si>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</si>
  <si>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</si>
  <si>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</si>
  <si>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</si>
  <si>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</si>
  <si>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</si>
  <si>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</si>
  <si>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</si>
  <si>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</si>
  <si>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</si>
  <si>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</si>
  <si>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</si>
  <si>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</si>
  <si>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</si>
  <si>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</si>
  <si>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</si>
  <si>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</si>
  <si>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</si>
  <si>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</si>
  <si>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</si>
  <si>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</si>
  <si>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</si>
  <si>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</si>
  <si>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</si>
  <si>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</si>
  <si>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</si>
  <si>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</si>
  <si>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</si>
  <si>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</si>
  <si>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</si>
  <si>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</si>
  <si>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</si>
  <si>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</si>
  <si>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</si>
  <si>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</si>
  <si>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</si>
  <si>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</si>
  <si>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</si>
  <si>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</si>
  <si>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</si>
  <si>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</si>
  <si>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</si>
  <si>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</si>
  <si>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</si>
  <si>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</si>
  <si>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</si>
  <si>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</si>
  <si>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</si>
  <si>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</si>
  <si>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</si>
  <si>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</si>
  <si>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</si>
  <si>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</si>
  <si>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</si>
  <si>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</si>
  <si>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</si>
  <si>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</si>
  <si>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</si>
  <si>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</si>
  <si>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</si>
  <si>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</si>
  <si>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</si>
  <si>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</si>
  <si>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</si>
  <si>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</si>
  <si>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</si>
  <si>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</si>
  <si>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</si>
  <si>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</si>
  <si>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</si>
  <si>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</si>
  <si>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</si>
  <si>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</si>
  <si>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</si>
  <si>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</si>
  <si>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</si>
  <si>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</si>
  <si>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</si>
  <si>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</si>
  <si>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</si>
  <si>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</si>
  <si>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</si>
  <si>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</si>
  <si>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</si>
  <si>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</si>
  <si>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</si>
  <si>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</si>
  <si>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</si>
  <si>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</si>
  <si>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</si>
  <si>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</si>
  <si>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</si>
  <si>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</si>
  <si>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</si>
  <si>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</si>
  <si>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</si>
  <si>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</si>
  <si>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</si>
  <si>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</si>
  <si>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</si>
  <si>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</si>
  <si>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</si>
  <si>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</si>
  <si>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</si>
  <si>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</si>
  <si>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</si>
  <si>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</si>
  <si>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</si>
  <si>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</si>
  <si>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</si>
  <si>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</si>
  <si>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</si>
  <si>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</si>
  <si>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</si>
  <si>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</si>
  <si>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</si>
  <si>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</si>
  <si>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</si>
  <si>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</si>
  <si>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</si>
  <si>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</si>
  <si>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</si>
  <si>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</si>
  <si>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</si>
  <si>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</si>
  <si>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</si>
  <si>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</si>
  <si>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</si>
  <si>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</si>
  <si>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</si>
  <si>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</si>
  <si>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</si>
  <si>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</si>
  <si>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</si>
  <si>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</si>
  <si>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</si>
  <si>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</si>
  <si>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</si>
  <si>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</si>
  <si>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</si>
  <si>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</si>
  <si>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</si>
  <si>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</si>
  <si>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</si>
  <si>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</si>
  <si>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</si>
  <si>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</si>
  <si>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</si>
  <si>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</si>
  <si>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</si>
  <si>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</si>
  <si>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</si>
  <si>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</si>
  <si>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</si>
  <si>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</si>
  <si>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</si>
  <si>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</si>
  <si>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</si>
  <si>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</si>
  <si>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</si>
  <si>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</si>
  <si>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</si>
  <si>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</si>
  <si>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</si>
  <si>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</si>
  <si>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</si>
  <si>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</si>
  <si>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</si>
  <si>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</si>
  <si>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</si>
  <si>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</si>
  <si>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</si>
  <si>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</si>
  <si>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</si>
  <si>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</si>
  <si>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</si>
  <si>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</si>
  <si>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</si>
  <si>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</si>
  <si>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</si>
  <si>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</si>
  <si>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</si>
  <si>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</si>
  <si>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</si>
  <si>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</si>
  <si>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</si>
  <si>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</si>
  <si>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</si>
  <si>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</si>
  <si>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</si>
  <si>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</si>
  <si>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</si>
  <si>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</si>
  <si>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</si>
  <si>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</si>
  <si>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</si>
  <si>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</si>
  <si>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</si>
  <si>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</si>
  <si>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</si>
  <si>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</si>
  <si>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</si>
  <si>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</si>
  <si>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</si>
  <si>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</si>
  <si>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</si>
  <si>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</si>
  <si>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</si>
  <si>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</si>
  <si>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</si>
  <si>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</si>
  <si>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</si>
  <si>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</si>
  <si>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</si>
  <si>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</si>
  <si>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</si>
  <si>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</si>
  <si>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</si>
  <si>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</si>
  <si>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</si>
  <si>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</si>
  <si>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</si>
  <si>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</si>
  <si>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</si>
  <si>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</si>
  <si>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</si>
  <si>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</si>
  <si>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</si>
  <si>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</si>
  <si>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</si>
  <si>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</si>
  <si>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</si>
  <si>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</si>
  <si>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</si>
  <si>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</si>
  <si>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</si>
  <si>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</si>
  <si>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</si>
  <si>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</si>
  <si>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</si>
  <si>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</si>
  <si>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</si>
  <si>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</si>
  <si>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</si>
  <si>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</si>
  <si>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</si>
  <si>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</si>
  <si>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</si>
  <si>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</si>
  <si>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</si>
  <si>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</si>
  <si>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</si>
  <si>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</si>
  <si>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</si>
  <si>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</si>
  <si>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</si>
  <si>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</si>
  <si>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</si>
  <si>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</si>
  <si>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</si>
  <si>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</si>
  <si>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</si>
  <si>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</si>
  <si>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</si>
  <si>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</si>
  <si>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</si>
  <si>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</si>
  <si>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</si>
  <si>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</si>
  <si>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</si>
  <si>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</si>
  <si>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</si>
  <si>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</si>
  <si>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</si>
  <si>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</si>
  <si>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</si>
  <si>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</si>
  <si>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</si>
  <si>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</si>
  <si>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</si>
  <si>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</si>
  <si>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</si>
  <si>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</si>
  <si>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</si>
  <si>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</si>
  <si>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</si>
  <si>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</si>
  <si>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</si>
  <si>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</si>
  <si>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</si>
  <si>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</si>
  <si>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</si>
  <si>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</si>
  <si>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</si>
  <si>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</si>
  <si>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</si>
  <si>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</si>
  <si>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</si>
  <si>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</si>
  <si>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</si>
  <si>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</si>
  <si>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</si>
  <si>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</si>
  <si>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</si>
  <si>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</si>
  <si>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</si>
  <si>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</si>
  <si>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</si>
  <si>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</si>
  <si>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</si>
  <si>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</si>
  <si>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</si>
  <si>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</si>
  <si>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</si>
  <si>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</si>
  <si>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</si>
  <si>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</si>
  <si>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</si>
  <si>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</si>
  <si>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</si>
  <si>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</si>
  <si>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</si>
  <si>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</si>
  <si>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</si>
  <si>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</si>
  <si>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</si>
  <si>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</si>
  <si>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</si>
  <si>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</si>
  <si>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</si>
  <si>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</si>
  <si>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</si>
  <si>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</si>
  <si>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</si>
  <si>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</si>
  <si>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</si>
  <si>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</si>
  <si>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</si>
  <si>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</si>
  <si>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</si>
  <si>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</si>
  <si>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</si>
  <si>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</si>
  <si>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</si>
  <si>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</si>
  <si>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</si>
  <si>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</si>
  <si>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</si>
  <si>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</si>
  <si>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</si>
  <si>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</si>
  <si>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</si>
  <si>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</si>
  <si>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</si>
  <si>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</si>
  <si>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</si>
  <si>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</si>
  <si>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</si>
  <si>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</si>
  <si>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</si>
  <si>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</si>
  <si>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</si>
  <si>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</si>
  <si>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</si>
  <si>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</si>
  <si>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</si>
  <si>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</si>
  <si>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</si>
  <si>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</si>
  <si>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</si>
  <si>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</si>
  <si>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</si>
  <si>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</si>
  <si>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</si>
  <si>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</si>
  <si>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</si>
  <si>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</si>
  <si>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</si>
  <si>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</si>
  <si>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</si>
  <si>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</si>
  <si>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</si>
  <si>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</si>
  <si>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</si>
  <si>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</si>
  <si>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</si>
  <si>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</si>
  <si>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</si>
  <si>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</si>
  <si>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</si>
  <si>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</si>
  <si>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</si>
  <si>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</si>
  <si>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</si>
  <si>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</si>
  <si>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</si>
  <si>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</si>
  <si>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</si>
  <si>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</si>
  <si>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</si>
  <si>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</si>
  <si>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</si>
  <si>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</si>
  <si>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</si>
  <si>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</si>
  <si>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</si>
  <si>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</si>
  <si>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</si>
  <si>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</si>
  <si>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</si>
  <si>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</si>
  <si>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</si>
  <si>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</si>
  <si>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</si>
  <si>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</si>
  <si>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</si>
  <si>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</si>
  <si>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</si>
  <si>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</si>
  <si>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</si>
  <si>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</si>
  <si>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</si>
  <si>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</si>
  <si>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</si>
  <si>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</si>
  <si>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</si>
  <si>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</si>
  <si>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</si>
  <si>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</si>
  <si>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</si>
  <si>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</si>
  <si>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</si>
  <si>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</si>
  <si>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</si>
  <si>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</si>
  <si>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</si>
  <si>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</si>
  <si>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</si>
  <si>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</si>
  <si>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</si>
  <si>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</si>
  <si>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</si>
  <si>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</si>
  <si>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</si>
  <si>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</si>
  <si>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</si>
  <si>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</si>
  <si>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</si>
  <si>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</si>
  <si>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</si>
  <si>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</si>
  <si>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</si>
  <si>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</si>
  <si>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</si>
  <si>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</si>
  <si>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</si>
  <si>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</si>
  <si>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</si>
  <si>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</si>
  <si>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</si>
  <si>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</si>
  <si>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</si>
  <si>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</si>
  <si>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</si>
  <si>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</si>
  <si>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</si>
  <si>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</si>
  <si>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</si>
  <si>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</si>
  <si>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</si>
  <si>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</si>
  <si>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</si>
  <si>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</si>
  <si>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</si>
  <si>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</si>
  <si>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</si>
  <si>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</si>
  <si>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</si>
  <si>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</si>
  <si>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</si>
  <si>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</si>
  <si>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</si>
  <si>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</si>
  <si>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</si>
  <si>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</si>
  <si>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</si>
  <si>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</si>
  <si>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</si>
  <si>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</si>
  <si>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</si>
  <si>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</si>
  <si>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</si>
  <si>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</si>
  <si>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</si>
  <si>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</si>
  <si>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</si>
  <si>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</si>
  <si>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</si>
  <si>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</si>
  <si>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</si>
  <si>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</si>
  <si>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</si>
  <si>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</si>
  <si>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</si>
  <si>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</si>
  <si>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</si>
  <si>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</si>
  <si>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</si>
  <si>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</si>
  <si>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</si>
  <si>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</si>
  <si>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</si>
  <si>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</si>
  <si>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</si>
  <si>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</si>
  <si>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</si>
  <si>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</si>
  <si>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</si>
  <si>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</si>
  <si>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</si>
  <si>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</si>
  <si>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</si>
  <si>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</si>
  <si>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</si>
  <si>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</si>
  <si>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</si>
  <si>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</si>
  <si>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</si>
  <si>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</si>
  <si>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</si>
  <si>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</si>
  <si>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</si>
  <si>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</si>
  <si>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</si>
  <si>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</si>
  <si>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</si>
  <si>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</si>
  <si>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</si>
  <si>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</si>
  <si>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</si>
  <si>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</si>
  <si>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</si>
  <si>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</si>
  <si>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</si>
  <si>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</si>
  <si>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</si>
  <si>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</si>
  <si>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</si>
  <si>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</si>
  <si>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</si>
  <si>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</si>
  <si>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</si>
  <si>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</si>
  <si>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</si>
  <si>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</si>
  <si>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</si>
  <si>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</si>
  <si>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</si>
  <si>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</si>
  <si>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</si>
  <si>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</si>
  <si>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</si>
  <si>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</si>
  <si>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</si>
  <si>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</si>
  <si>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</si>
  <si>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</si>
  <si>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</si>
  <si>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</si>
  <si>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</si>
  <si>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</si>
  <si>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</si>
  <si>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</si>
  <si>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</si>
  <si>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</si>
  <si>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</si>
  <si>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</si>
  <si>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</si>
  <si>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</si>
  <si>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</si>
  <si>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</si>
  <si>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</si>
  <si>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</si>
  <si>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</si>
  <si>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</si>
  <si>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</si>
  <si>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</si>
  <si>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</si>
  <si>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</si>
  <si>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</si>
  <si>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</si>
  <si>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</si>
  <si>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</si>
  <si>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</si>
  <si>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</si>
  <si>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</si>
  <si>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</si>
  <si>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</si>
  <si>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</si>
  <si>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</si>
  <si>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</si>
  <si>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</si>
  <si>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</si>
  <si>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</si>
  <si>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</si>
  <si>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</si>
  <si>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</si>
  <si>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</si>
  <si>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</si>
  <si>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</si>
  <si>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</si>
  <si>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</si>
  <si>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</si>
  <si>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</si>
  <si>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</si>
  <si>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</si>
  <si>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</si>
  <si>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</si>
  <si>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</si>
  <si>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</si>
  <si>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</si>
  <si>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</si>
  <si>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</si>
  <si>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</si>
  <si>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</si>
  <si>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</si>
  <si>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</si>
  <si>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</si>
  <si>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</si>
  <si>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</si>
  <si>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</si>
  <si>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</si>
  <si>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</si>
  <si>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</si>
  <si>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</si>
  <si>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</si>
  <si>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</si>
  <si>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</si>
  <si>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</si>
  <si>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</si>
  <si>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</si>
  <si>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</si>
  <si>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</si>
  <si>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</si>
  <si>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</si>
  <si>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</si>
  <si>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</si>
  <si>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</si>
  <si>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</si>
  <si>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</si>
  <si>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</si>
  <si>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</si>
  <si>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</si>
  <si>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</si>
  <si>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</si>
  <si>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</si>
  <si>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</si>
  <si>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</si>
  <si>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</si>
  <si>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</si>
  <si>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</si>
  <si>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</si>
  <si>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</si>
  <si>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</si>
  <si>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</si>
  <si>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</si>
  <si>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</si>
  <si>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</si>
  <si>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</si>
  <si>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</si>
  <si>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</si>
  <si>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</si>
  <si>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</si>
  <si>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</si>
  <si>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</si>
  <si>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</si>
  <si>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</si>
  <si>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</si>
  <si>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</si>
  <si>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</si>
  <si>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</si>
  <si>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</si>
  <si>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</si>
  <si>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</si>
  <si>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</si>
  <si>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</si>
  <si>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</si>
  <si>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</si>
  <si>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</si>
  <si>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</si>
  <si>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</si>
  <si>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</si>
  <si>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</si>
  <si>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</si>
  <si>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</si>
  <si>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</si>
  <si>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</si>
  <si>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</si>
  <si>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</si>
  <si>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</si>
  <si>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</si>
  <si>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</si>
  <si>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</si>
  <si>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</si>
  <si>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</si>
  <si>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</si>
  <si>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</si>
  <si>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</si>
  <si>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</si>
  <si>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</si>
  <si>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</si>
  <si>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</si>
  <si>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</si>
  <si>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</si>
  <si>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</si>
  <si>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</si>
  <si>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</si>
  <si>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</si>
  <si>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</si>
  <si>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</si>
  <si>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</si>
  <si>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</si>
  <si>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</si>
  <si>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</si>
  <si>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</si>
  <si>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</si>
  <si>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</si>
  <si>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</si>
  <si>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</si>
  <si>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</si>
  <si>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</si>
  <si>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</si>
  <si>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</si>
  <si>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</si>
  <si>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</si>
  <si>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</si>
  <si>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</si>
  <si>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</si>
  <si>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</si>
  <si>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</si>
  <si>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</si>
  <si>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</si>
  <si>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</si>
  <si>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</si>
  <si>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</si>
  <si>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</si>
  <si>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</si>
  <si>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</si>
  <si>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</si>
  <si>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</si>
  <si>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</si>
  <si>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</si>
  <si>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</si>
  <si>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</si>
  <si>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</si>
  <si>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</si>
  <si>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</si>
  <si>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</si>
  <si>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</si>
  <si>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</si>
  <si>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</si>
  <si>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</si>
  <si>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</si>
  <si>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</si>
  <si>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</si>
  <si>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</si>
  <si>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</si>
  <si>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</si>
  <si>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</si>
  <si>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</si>
  <si>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</si>
  <si>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</si>
  <si>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</si>
  <si>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</si>
  <si>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</si>
  <si>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</si>
  <si>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</si>
  <si>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</si>
  <si>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</si>
  <si>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</si>
  <si>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</si>
  <si>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</si>
  <si>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</si>
  <si>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</si>
  <si>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</si>
  <si>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</si>
  <si>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</si>
  <si>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</si>
  <si>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</si>
  <si>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</si>
  <si>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</si>
  <si>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</si>
  <si>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</si>
  <si>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</si>
  <si>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</si>
  <si>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</si>
  <si>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</si>
  <si>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</si>
  <si>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</si>
  <si>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</si>
  <si>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</si>
  <si>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</si>
  <si>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</si>
  <si>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</si>
  <si>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</si>
  <si>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</si>
  <si>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</si>
  <si>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</si>
  <si>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</si>
  <si>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</si>
  <si>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</si>
  <si>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</si>
  <si>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</si>
  <si>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</si>
  <si>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</si>
  <si>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</si>
  <si>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</si>
  <si>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</si>
  <si>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</si>
  <si>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</si>
  <si>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</si>
  <si>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</si>
  <si>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</si>
  <si>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</si>
  <si>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</si>
  <si>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</si>
  <si>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</si>
  <si>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</si>
  <si>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</si>
  <si>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</si>
  <si>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</si>
  <si>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</si>
  <si>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</si>
  <si>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</si>
  <si>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</si>
  <si>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</si>
  <si>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</si>
  <si>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</si>
  <si>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</si>
  <si>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</si>
  <si>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</si>
  <si>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</si>
  <si>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</si>
  <si>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</si>
  <si>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</si>
  <si>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</si>
  <si>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</si>
  <si>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</si>
  <si>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</si>
  <si>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</si>
  <si>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</si>
  <si>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</si>
  <si>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</si>
  <si>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</si>
  <si>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</si>
  <si>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</si>
  <si>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</si>
  <si>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</si>
  <si>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</si>
  <si>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</si>
  <si>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</si>
  <si>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</si>
  <si>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</si>
  <si>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</si>
  <si>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</si>
  <si>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</si>
  <si>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</si>
  <si>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</si>
  <si>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</si>
  <si>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</si>
  <si>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</si>
  <si>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</si>
  <si>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</si>
  <si>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</si>
  <si>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</si>
  <si>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</si>
  <si>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</si>
  <si>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</si>
  <si>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</si>
  <si>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</si>
  <si>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</si>
  <si>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</si>
  <si>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</si>
  <si>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</si>
  <si>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</si>
  <si>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</si>
  <si>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</si>
  <si>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</si>
  <si>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</si>
  <si>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</si>
  <si>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</si>
  <si>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</si>
  <si>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</si>
  <si>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</si>
  <si>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</si>
  <si>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</si>
  <si>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</si>
  <si>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</si>
  <si>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</si>
  <si>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</si>
  <si>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</si>
  <si>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</si>
  <si>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</si>
  <si>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</si>
  <si>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</si>
  <si>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</si>
  <si>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</si>
  <si>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</si>
  <si>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</si>
  <si>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</si>
  <si>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</si>
  <si>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</si>
  <si>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</si>
  <si>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</si>
  <si>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</si>
  <si>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</si>
  <si>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</si>
  <si>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</si>
  <si>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</si>
  <si>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</si>
  <si>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</si>
  <si>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</si>
  <si>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</si>
  <si>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</si>
  <si>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</si>
  <si>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</si>
  <si>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</si>
  <si>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</si>
  <si>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</si>
  <si>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</si>
  <si>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</si>
  <si>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</si>
  <si>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</si>
  <si>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</si>
  <si>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</si>
  <si>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</si>
  <si>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</si>
  <si>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</si>
  <si>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</si>
  <si>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</si>
  <si>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</si>
  <si>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</si>
  <si>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</si>
  <si>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</si>
  <si>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</si>
  <si>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</si>
  <si>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</si>
  <si>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</si>
  <si>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</si>
  <si>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</si>
  <si>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</si>
  <si>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</si>
  <si>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</si>
  <si>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</si>
  <si>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</si>
  <si>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</si>
  <si>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</si>
  <si>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</si>
  <si>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</si>
  <si>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</si>
  <si>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</si>
  <si>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</si>
  <si>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</si>
  <si>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</si>
  <si>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</si>
  <si>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</si>
  <si>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</si>
  <si>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</si>
  <si>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</si>
  <si>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</si>
  <si>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</si>
  <si>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</si>
  <si>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</si>
  <si>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</si>
  <si>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</si>
  <si>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</si>
  <si>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</si>
  <si>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</si>
  <si>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</si>
  <si>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</si>
  <si>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</si>
  <si>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</si>
  <si>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</si>
  <si>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</si>
  <si>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</si>
  <si>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</si>
  <si>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</si>
  <si>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</si>
  <si>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</si>
  <si>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</si>
  <si>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</si>
  <si>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</si>
  <si>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</si>
  <si>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</si>
  <si>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</si>
  <si>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</si>
  <si>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</si>
  <si>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</si>
  <si>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</si>
  <si>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</si>
  <si>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</si>
  <si>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</si>
  <si>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</si>
  <si>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</si>
  <si>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</si>
  <si>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</si>
  <si>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</si>
  <si>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</si>
  <si>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</si>
  <si>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</si>
  <si>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</si>
  <si>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</si>
  <si>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</si>
  <si>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</si>
  <si>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</si>
  <si>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</si>
  <si>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</si>
  <si>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</si>
  <si>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</si>
  <si>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</si>
  <si>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</si>
  <si>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</si>
  <si>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</si>
  <si>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</si>
  <si>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</si>
  <si>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</si>
  <si>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</si>
  <si>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</si>
  <si>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</si>
  <si>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</si>
  <si>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</si>
  <si>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</si>
  <si>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</si>
  <si>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</si>
  <si>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</si>
  <si>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</si>
  <si>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</si>
  <si>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</si>
  <si>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</si>
  <si>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</si>
  <si>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</si>
  <si>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</si>
  <si>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</si>
  <si>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</si>
  <si>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</si>
  <si>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</si>
  <si>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</si>
  <si>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</si>
  <si>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</si>
  <si>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</si>
  <si>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</si>
  <si>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</si>
  <si>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</si>
  <si>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</si>
  <si>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</si>
  <si>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</si>
  <si>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</si>
  <si>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</si>
  <si>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</si>
  <si>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</si>
  <si>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</si>
  <si>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</si>
  <si>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</si>
  <si>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</si>
  <si>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</si>
  <si>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</si>
  <si>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</si>
  <si>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</si>
  <si>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</si>
  <si>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</si>
  <si>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</si>
  <si>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</si>
  <si>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</si>
  <si>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</si>
  <si>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</si>
  <si>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</si>
  <si>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</si>
  <si>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</si>
  <si>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</si>
  <si>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</si>
  <si>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</si>
  <si>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</si>
  <si>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</si>
  <si>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</si>
  <si>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</si>
  <si>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</si>
  <si>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</si>
  <si>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</si>
  <si>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</si>
  <si>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</si>
  <si>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</si>
  <si>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</si>
  <si>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</si>
  <si>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</si>
  <si>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</si>
  <si>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</si>
  <si>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</si>
  <si>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</si>
  <si>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</si>
  <si>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</si>
  <si>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</si>
  <si>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</si>
  <si>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</si>
  <si>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</si>
  <si>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</si>
  <si>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</si>
  <si>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</si>
  <si>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</si>
  <si>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</si>
  <si>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</si>
  <si>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</si>
  <si>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</si>
  <si>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</si>
  <si>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</si>
  <si>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</si>
  <si>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</si>
  <si>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</si>
  <si>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</si>
  <si>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</si>
  <si>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</si>
  <si>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</si>
  <si>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</si>
  <si>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</si>
  <si>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</si>
  <si>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</si>
  <si>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</si>
  <si>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</si>
  <si>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</si>
  <si>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</si>
  <si>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</si>
  <si>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</si>
  <si>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</si>
  <si>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</si>
  <si>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</si>
  <si>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</si>
  <si>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</si>
  <si>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</si>
  <si>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</si>
  <si>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</si>
  <si>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</si>
  <si>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</si>
  <si>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</si>
  <si>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</si>
  <si>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</si>
  <si>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</si>
  <si>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</si>
  <si>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</si>
  <si>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</si>
  <si>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</si>
  <si>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</si>
  <si>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</si>
  <si>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</si>
  <si>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</si>
  <si>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</si>
  <si>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</si>
  <si>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</si>
  <si>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</si>
  <si>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</si>
  <si>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</si>
  <si>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</si>
  <si>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</si>
  <si>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</si>
  <si>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</si>
  <si>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</si>
  <si>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</si>
  <si>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</si>
  <si>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</si>
  <si>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</si>
  <si>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</si>
  <si>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</si>
  <si>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</si>
  <si>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</si>
  <si>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</si>
  <si>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</si>
  <si>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</si>
  <si>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</si>
  <si>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</si>
  <si>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</si>
  <si>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</si>
  <si>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</si>
  <si>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</si>
  <si>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</si>
  <si>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</si>
  <si>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</si>
  <si>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</si>
  <si>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</si>
  <si>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</si>
  <si>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</si>
  <si>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</si>
  <si>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</si>
  <si>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</si>
  <si>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</si>
  <si>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</si>
  <si>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</si>
  <si>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</si>
  <si>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</si>
  <si>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</si>
  <si>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</si>
  <si>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</si>
  <si>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</si>
  <si>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</si>
  <si>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</si>
  <si>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</si>
  <si>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</si>
  <si>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</si>
  <si>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</si>
  <si>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</si>
  <si>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</si>
  <si>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</si>
  <si>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</si>
  <si>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</si>
  <si>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</si>
  <si>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</si>
  <si>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</si>
  <si>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</si>
  <si>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</si>
  <si>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</si>
  <si>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</si>
  <si>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</si>
  <si>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</si>
  <si>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</si>
  <si>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</si>
  <si>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</si>
  <si>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</si>
  <si>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</si>
  <si>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</si>
  <si>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</si>
  <si>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</si>
  <si>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</si>
  <si>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</si>
  <si>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</si>
  <si>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</si>
  <si>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</si>
  <si>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</si>
  <si>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</si>
  <si>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</si>
  <si>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</si>
  <si>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</si>
  <si>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</si>
  <si>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</si>
  <si>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</si>
  <si>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</si>
  <si>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</si>
  <si>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</si>
  <si>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</si>
  <si>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</si>
  <si>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</si>
  <si>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</si>
  <si>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</si>
  <si>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</si>
  <si>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</si>
  <si>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</si>
  <si>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</si>
  <si>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</si>
  <si>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</si>
  <si>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</si>
  <si>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</si>
  <si>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</si>
  <si>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</si>
  <si>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</si>
  <si>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</si>
  <si>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</si>
  <si>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</si>
  <si>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</si>
  <si>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</si>
  <si>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</si>
  <si>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</si>
  <si>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</si>
  <si>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</si>
  <si>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</si>
  <si>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</si>
  <si>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</si>
  <si>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</si>
  <si>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</si>
  <si>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</si>
  <si>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</si>
  <si>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</si>
  <si>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</si>
  <si>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</si>
  <si>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</si>
  <si>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</si>
  <si>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</si>
  <si>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</si>
  <si>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</si>
  <si>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</si>
  <si>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</si>
  <si>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</si>
  <si>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</si>
  <si>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</si>
  <si>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</si>
  <si>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</si>
  <si>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</si>
  <si>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</si>
  <si>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</si>
  <si>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</si>
  <si>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</si>
  <si>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</si>
  <si>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</si>
  <si>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</si>
  <si>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</si>
  <si>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</si>
  <si>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</si>
  <si>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</si>
  <si>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</si>
  <si>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</si>
  <si>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</si>
  <si>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</si>
  <si>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</si>
  <si>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</si>
  <si>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</si>
  <si>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</si>
  <si>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</si>
  <si>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</si>
  <si>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</si>
  <si>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</si>
  <si>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</si>
  <si>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</si>
  <si>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</si>
  <si>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</si>
  <si>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</si>
  <si>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</si>
  <si>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</si>
  <si>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</si>
  <si>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</si>
  <si>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</si>
  <si>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</si>
  <si>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</si>
  <si>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</si>
  <si>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</si>
  <si>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</si>
  <si>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</si>
  <si>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</si>
  <si>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</si>
  <si>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</si>
  <si>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</si>
  <si>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</si>
  <si>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</si>
  <si>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</si>
  <si>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</si>
  <si>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</si>
  <si>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</si>
  <si>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</si>
  <si>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</si>
  <si>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</si>
  <si>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</si>
  <si>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</si>
  <si>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</si>
  <si>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</si>
  <si>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</si>
  <si>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</si>
  <si>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</si>
  <si>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</si>
  <si>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</si>
  <si>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</si>
  <si>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</si>
  <si>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</si>
  <si>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</si>
  <si>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</si>
  <si>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</si>
  <si>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</si>
  <si>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</si>
  <si>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</si>
  <si>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</si>
  <si>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</si>
  <si>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</si>
  <si>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</si>
  <si>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</si>
  <si>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</si>
  <si>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</si>
  <si>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</si>
  <si>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</si>
  <si>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</si>
  <si>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</si>
  <si>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</si>
  <si>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</si>
  <si>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</si>
  <si>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</si>
  <si>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</si>
  <si>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</si>
  <si>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</si>
  <si>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</si>
  <si>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</si>
  <si>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</si>
  <si>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</si>
  <si>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</si>
  <si>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</si>
  <si>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</si>
  <si>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</si>
  <si>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</si>
  <si>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</si>
  <si>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</si>
  <si>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</si>
  <si>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</si>
  <si>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</si>
  <si>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</si>
  <si>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</si>
  <si>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</si>
  <si>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</si>
  <si>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</si>
  <si>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</si>
  <si>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</si>
  <si>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</si>
  <si>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</si>
  <si>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</si>
  <si>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</si>
  <si>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</si>
  <si>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</si>
  <si>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</si>
  <si>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</si>
  <si>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</si>
  <si>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</si>
  <si>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</si>
  <si>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</si>
  <si>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</si>
  <si>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</si>
  <si>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</si>
  <si>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</si>
  <si>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</si>
  <si>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</si>
  <si>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</si>
  <si>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</si>
  <si>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</si>
  <si>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</si>
  <si>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</si>
  <si>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</si>
  <si>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</si>
  <si>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</si>
  <si>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</si>
  <si>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</si>
  <si>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</si>
  <si>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</si>
  <si>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</si>
  <si>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</si>
  <si>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</si>
  <si>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</si>
  <si>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</si>
  <si>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</si>
  <si>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</si>
  <si>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</si>
  <si>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</si>
  <si>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</si>
  <si>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</si>
  <si>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</si>
  <si>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</si>
  <si>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</si>
  <si>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</si>
  <si>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</si>
  <si>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</si>
  <si>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</si>
  <si>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</si>
  <si>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</si>
  <si>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</si>
  <si>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</si>
  <si>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</si>
  <si>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</si>
  <si>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</si>
  <si>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</si>
  <si>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</si>
  <si>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</si>
  <si>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</si>
  <si>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</si>
  <si>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</si>
  <si>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</si>
  <si>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</si>
  <si>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</si>
  <si>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</si>
  <si>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</si>
  <si>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</si>
  <si>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</si>
  <si>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</si>
  <si>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</si>
  <si>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</si>
  <si>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</si>
  <si>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</si>
  <si>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</si>
  <si>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</si>
  <si>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</si>
  <si>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</si>
  <si>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</si>
  <si>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</si>
  <si>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</si>
  <si>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</si>
  <si>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</si>
  <si>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</si>
  <si>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</si>
  <si>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</si>
  <si>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</si>
  <si>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</si>
  <si>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</si>
  <si>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</si>
  <si>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</si>
  <si>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</si>
  <si>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</si>
  <si>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</si>
  <si>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</si>
  <si>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</si>
  <si>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</si>
  <si>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</si>
  <si>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</si>
  <si>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</si>
  <si>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</si>
  <si>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</si>
  <si>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</si>
  <si>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</si>
  <si>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</si>
  <si>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</si>
  <si>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</si>
  <si>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</si>
  <si>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</si>
  <si>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</si>
  <si>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</si>
  <si>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</si>
  <si>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</si>
  <si>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</si>
  <si>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</si>
  <si>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</si>
  <si>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</si>
  <si>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</si>
  <si>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</si>
  <si>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</si>
  <si>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</si>
  <si>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</si>
  <si>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</si>
  <si>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</si>
  <si>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</si>
  <si>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</si>
  <si>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</si>
  <si>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</si>
  <si>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</si>
  <si>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</si>
  <si>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</si>
  <si>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</si>
  <si>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</si>
  <si>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</si>
  <si>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</si>
  <si>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</si>
  <si>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</si>
  <si>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</si>
  <si>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</si>
  <si>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</si>
  <si>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</si>
  <si>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</si>
  <si>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</si>
  <si>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</si>
  <si>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</si>
  <si>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</si>
  <si>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</si>
  <si>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</si>
  <si>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</si>
  <si>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</si>
  <si>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</si>
  <si>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</si>
  <si>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</si>
  <si>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</si>
  <si>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</si>
  <si>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</si>
  <si>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</si>
  <si>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</si>
  <si>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</si>
  <si>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</si>
  <si>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</si>
  <si>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</si>
  <si>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</si>
  <si>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</si>
  <si>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</si>
  <si>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</si>
  <si>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</si>
  <si>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</si>
  <si>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</si>
  <si>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</si>
  <si>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</si>
  <si>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</si>
  <si>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</si>
  <si>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</si>
  <si>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</si>
  <si>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</si>
  <si>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</si>
  <si>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</si>
  <si>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</si>
  <si>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</si>
  <si>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</si>
  <si>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</si>
  <si>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</si>
  <si>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</si>
  <si>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</si>
  <si>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</si>
  <si>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</si>
  <si>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</si>
  <si>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</si>
  <si>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</si>
  <si>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</si>
  <si>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</si>
  <si>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</si>
  <si>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</si>
  <si>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</si>
  <si>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</si>
  <si>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</si>
  <si>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</si>
  <si>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</si>
  <si>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</si>
  <si>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</si>
  <si>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</si>
  <si>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</si>
  <si>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</si>
  <si>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</si>
  <si>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</si>
  <si>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</si>
  <si>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</si>
  <si>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</si>
  <si>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</si>
  <si>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</si>
  <si>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</si>
  <si>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</si>
  <si>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</si>
  <si>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</si>
  <si>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</si>
  <si>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</si>
  <si>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</si>
  <si>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</si>
  <si>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</si>
  <si>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</si>
  <si>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</si>
  <si>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</si>
  <si>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</si>
  <si>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</si>
  <si>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</si>
  <si>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</si>
  <si>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</si>
  <si>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</si>
  <si>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</si>
  <si>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</si>
  <si>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</si>
  <si>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</si>
  <si>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</si>
  <si>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</si>
  <si>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</si>
  <si>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</si>
  <si>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</si>
  <si>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</si>
  <si>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</si>
  <si>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</si>
  <si>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</si>
  <si>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</si>
  <si>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</si>
  <si>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</si>
  <si>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</si>
  <si>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</si>
  <si>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</si>
  <si>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</si>
  <si>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</si>
  <si>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</si>
  <si>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</si>
  <si>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</si>
  <si>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</si>
  <si>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</si>
  <si>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</si>
  <si>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</si>
  <si>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</si>
  <si>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</si>
  <si>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</si>
  <si>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</si>
  <si>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</si>
  <si>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</si>
  <si>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</si>
  <si>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</si>
  <si>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</si>
  <si>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</si>
  <si>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</si>
  <si>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</si>
  <si>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</si>
  <si>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</si>
  <si>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</si>
  <si>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</si>
  <si>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</si>
  <si>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</si>
  <si>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</si>
  <si>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</si>
  <si>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</si>
  <si>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</si>
  <si>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</si>
  <si>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</si>
  <si>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</si>
  <si>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</si>
  <si>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</si>
  <si>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</si>
  <si>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</si>
  <si>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</si>
  <si>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</si>
  <si>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</si>
  <si>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</si>
  <si>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</si>
  <si>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</si>
  <si>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</si>
  <si>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</si>
  <si>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</si>
  <si>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</si>
  <si>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</si>
  <si>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</si>
  <si>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</si>
  <si>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</si>
  <si>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</si>
  <si>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</si>
  <si>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</si>
  <si>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</si>
  <si>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</si>
  <si>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</si>
  <si>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</si>
  <si>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</si>
  <si>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</si>
  <si>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</si>
  <si>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</si>
  <si>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</si>
  <si>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</si>
  <si>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</si>
  <si>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</si>
  <si>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</si>
  <si>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</si>
  <si>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</si>
  <si>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</si>
  <si>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</si>
  <si>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</si>
  <si>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</si>
  <si>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</si>
  <si>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</si>
  <si>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</si>
  <si>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</si>
  <si>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</si>
  <si>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</si>
  <si>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</si>
  <si>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</si>
  <si>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</si>
  <si>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</si>
  <si>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</si>
  <si>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</si>
  <si>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</si>
  <si>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</si>
  <si>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</si>
  <si>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</si>
  <si>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</si>
  <si>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</si>
  <si>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</si>
  <si>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</si>
  <si>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</si>
  <si>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</si>
  <si>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</si>
  <si>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</si>
  <si>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</si>
  <si>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</si>
  <si>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</si>
  <si>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</si>
  <si>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</si>
  <si>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</si>
  <si>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</si>
  <si>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</si>
  <si>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</si>
  <si>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</si>
  <si>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</si>
  <si>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</si>
  <si>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</si>
  <si>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</si>
  <si>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</si>
  <si>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</si>
  <si>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</si>
  <si>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</si>
  <si>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</si>
  <si>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</si>
  <si>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</si>
  <si>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</si>
  <si>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</si>
  <si>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</si>
  <si>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</si>
  <si>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</si>
  <si>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</si>
  <si>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</si>
  <si>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</si>
  <si>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</si>
  <si>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</si>
  <si>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</si>
  <si>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</si>
  <si>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</si>
  <si>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</si>
  <si>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</si>
  <si>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</si>
  <si>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</si>
  <si>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</si>
  <si>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</si>
  <si>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</si>
  <si>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</si>
  <si>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</si>
  <si>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</si>
  <si>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</si>
  <si>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</si>
  <si>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</si>
  <si>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</si>
  <si>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</si>
  <si>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</si>
  <si>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</si>
  <si>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</si>
  <si>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</si>
  <si>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</si>
  <si>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</si>
  <si>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</si>
  <si>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</si>
  <si>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</si>
  <si>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</si>
  <si>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</si>
  <si>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</si>
  <si>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</si>
  <si>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</si>
  <si>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</si>
  <si>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</si>
  <si>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</si>
  <si>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</si>
  <si>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</si>
  <si>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</si>
  <si>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</si>
  <si>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</si>
  <si>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</si>
  <si>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</si>
  <si>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</si>
  <si>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</si>
  <si>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</si>
  <si>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</si>
  <si>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</si>
  <si>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</si>
  <si>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</si>
  <si>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</si>
  <si>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</si>
  <si>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</si>
  <si>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</si>
  <si>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</si>
  <si>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</si>
  <si>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</si>
  <si>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</si>
  <si>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</si>
  <si>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</si>
  <si>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</si>
  <si>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</si>
  <si>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</si>
  <si>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</si>
  <si>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</si>
  <si>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</si>
  <si>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</si>
  <si>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</si>
  <si>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</si>
  <si>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</si>
  <si>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</si>
  <si>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</si>
  <si>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</si>
  <si>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</si>
  <si>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</si>
  <si>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</si>
  <si>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</si>
  <si>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</si>
  <si>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</si>
  <si>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</si>
  <si>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</si>
  <si>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</si>
  <si>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</si>
  <si>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</si>
  <si>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</si>
  <si>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</si>
  <si>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</si>
  <si>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</si>
  <si>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</si>
  <si>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</si>
  <si>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</si>
  <si>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</si>
  <si>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</si>
  <si>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</si>
  <si>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</si>
  <si>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</si>
  <si>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</si>
  <si>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</si>
  <si>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</si>
  <si>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</si>
  <si>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</si>
  <si>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</si>
  <si>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</si>
  <si>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</si>
  <si>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</si>
  <si>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</si>
  <si>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</si>
  <si>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</si>
  <si>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</si>
  <si>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</si>
  <si>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</si>
  <si>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</si>
  <si>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</si>
  <si>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</si>
  <si>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</si>
  <si>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</si>
  <si>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</si>
  <si>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</si>
  <si>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</si>
  <si>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</si>
  <si>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</si>
  <si>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</si>
  <si>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</si>
  <si>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</si>
  <si>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</si>
  <si>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</si>
  <si>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</si>
  <si>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</si>
  <si>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</si>
  <si>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</si>
  <si>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</si>
  <si>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</si>
  <si>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</si>
  <si>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</si>
  <si>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</si>
  <si>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</si>
  <si>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</si>
  <si>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</si>
  <si>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</si>
  <si>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</si>
  <si>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</si>
  <si>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</si>
  <si>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</si>
  <si>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</si>
  <si>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</si>
  <si>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</si>
  <si>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</si>
  <si>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</si>
  <si>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</si>
  <si>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</si>
  <si>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</si>
  <si>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</si>
  <si>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</si>
  <si>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</si>
  <si>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</si>
  <si>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</si>
  <si>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</si>
  <si>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</si>
  <si>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</si>
  <si>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</si>
  <si>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</si>
  <si>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</si>
  <si>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</si>
  <si>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</si>
  <si>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</si>
  <si>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</si>
  <si>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</si>
  <si>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</si>
  <si>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</si>
  <si>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</si>
  <si>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</si>
  <si>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</si>
  <si>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</si>
  <si>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</si>
  <si>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</si>
  <si>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</si>
  <si>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</si>
  <si>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</si>
  <si>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</si>
  <si>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</si>
  <si>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</si>
  <si>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</si>
  <si>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</si>
  <si>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</si>
  <si>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</si>
  <si>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</si>
  <si>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</si>
  <si>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</si>
  <si>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</si>
  <si>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</si>
  <si>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</si>
  <si>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</si>
  <si>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</si>
  <si>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</si>
  <si>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</si>
  <si>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</si>
  <si>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</si>
  <si>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</si>
  <si>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</si>
  <si>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</si>
  <si>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</si>
  <si>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</si>
  <si>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</si>
  <si>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</si>
  <si>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</si>
  <si>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</si>
  <si>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</si>
  <si>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</si>
  <si>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</si>
  <si>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</si>
  <si>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</si>
  <si>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</si>
  <si>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</si>
  <si>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</si>
  <si>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</si>
  <si>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</si>
  <si>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</si>
  <si>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</si>
  <si>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</si>
  <si>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</si>
  <si>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</si>
  <si>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</si>
  <si>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</si>
  <si>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</si>
  <si>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</si>
  <si>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</si>
  <si>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</si>
  <si>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</si>
  <si>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</si>
  <si>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</si>
  <si>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</si>
  <si>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</si>
  <si>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</si>
  <si>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</si>
  <si>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</si>
  <si>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</si>
  <si>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</si>
  <si>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</si>
  <si>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</si>
  <si>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</si>
  <si>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</si>
  <si>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</si>
  <si>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</si>
  <si>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</si>
  <si>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</si>
  <si>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</si>
  <si>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</si>
  <si>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</si>
  <si>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</si>
  <si>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</si>
  <si>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</si>
  <si>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</si>
  <si>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</si>
  <si>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</si>
  <si>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</si>
  <si>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</si>
  <si>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</si>
  <si>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</si>
  <si>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</si>
  <si>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</si>
  <si>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</si>
  <si>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</si>
  <si>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</si>
  <si>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</si>
  <si>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</si>
  <si>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</si>
  <si>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</si>
  <si>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</si>
  <si>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</si>
  <si>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</si>
  <si>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</si>
  <si>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</si>
  <si>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</si>
  <si>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</si>
  <si>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</si>
  <si>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</si>
  <si>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</si>
  <si>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</si>
  <si>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</si>
  <si>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</si>
  <si>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</si>
  <si>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</si>
  <si>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</si>
  <si>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</si>
  <si>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</si>
  <si>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</si>
  <si>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</si>
  <si>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</si>
  <si>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</si>
  <si>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</si>
  <si>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</si>
  <si>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</si>
  <si>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</si>
  <si>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</si>
  <si>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</si>
  <si>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</si>
  <si>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</si>
  <si>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</si>
  <si>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</si>
  <si>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</si>
  <si>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</si>
  <si>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</si>
  <si>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</si>
  <si>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</si>
  <si>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</si>
  <si>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</si>
  <si>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</si>
  <si>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</si>
  <si>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</si>
  <si>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</si>
  <si>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</si>
  <si>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</si>
  <si>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</si>
  <si>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</si>
  <si>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</si>
  <si>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</si>
  <si>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</si>
  <si>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</si>
  <si>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</si>
  <si>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</si>
  <si>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</si>
  <si>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</si>
  <si>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</si>
  <si>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</si>
  <si>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</si>
  <si>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</si>
  <si>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</si>
  <si>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</si>
  <si>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</si>
  <si>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</si>
  <si>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</si>
  <si>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</si>
  <si>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</si>
  <si>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</si>
  <si>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</si>
  <si>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</si>
  <si>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</si>
  <si>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</si>
  <si>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</si>
  <si>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</si>
  <si>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</si>
  <si>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</si>
  <si>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</si>
  <si>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</si>
  <si>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</si>
  <si>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</si>
  <si>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</si>
  <si>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</si>
  <si>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</si>
  <si>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</si>
  <si>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</si>
  <si>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</si>
  <si>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</si>
  <si>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</si>
  <si>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</si>
  <si>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</si>
  <si>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</si>
  <si>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</si>
  <si>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</si>
  <si>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</si>
  <si>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</si>
  <si>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</si>
  <si>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</si>
  <si>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</si>
  <si>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</si>
  <si>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</si>
  <si>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</si>
  <si>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</si>
  <si>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</si>
  <si>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</si>
  <si>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</si>
  <si>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</si>
  <si>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</si>
  <si>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</si>
  <si>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</si>
  <si>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</si>
  <si>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</si>
  <si>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</si>
  <si>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</si>
  <si>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</si>
  <si>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</si>
  <si>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</si>
  <si>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</si>
  <si>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</si>
  <si>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</si>
  <si>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</si>
  <si>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</si>
  <si>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</si>
  <si>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</si>
  <si>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</si>
  <si>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</si>
  <si>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</si>
  <si>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</si>
  <si>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</si>
  <si>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</si>
  <si>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</si>
  <si>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</si>
  <si>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</si>
  <si>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</si>
  <si>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</si>
  <si>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</si>
  <si>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</si>
  <si>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</si>
  <si>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</si>
  <si>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</si>
  <si>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</si>
  <si>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</si>
  <si>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</si>
  <si>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</si>
  <si>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</si>
  <si>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</si>
  <si>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</si>
  <si>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</si>
  <si>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</si>
  <si>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</si>
  <si>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</si>
  <si>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</si>
  <si>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</si>
  <si>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</si>
  <si>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</si>
  <si>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</si>
  <si>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</si>
  <si>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</si>
  <si>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</si>
  <si>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</si>
  <si>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</si>
  <si>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</si>
  <si>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</si>
  <si>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</si>
  <si>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</si>
  <si>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</si>
  <si>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</si>
  <si>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</si>
  <si>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</si>
  <si>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</si>
  <si>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</si>
  <si>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</si>
  <si>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</si>
  <si>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</si>
  <si>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</si>
  <si>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</si>
  <si>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</si>
  <si>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</si>
  <si>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</si>
  <si>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</si>
  <si>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</si>
  <si>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</si>
  <si>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</si>
  <si>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</si>
  <si>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</si>
  <si>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</si>
  <si>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</si>
  <si>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</si>
  <si>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</si>
  <si>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</si>
  <si>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</si>
  <si>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</si>
  <si>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</si>
  <si>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</si>
  <si>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</si>
  <si>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</si>
  <si>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</si>
  <si>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</si>
  <si>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</si>
  <si>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</si>
  <si>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</si>
  <si>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</si>
  <si>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</si>
  <si>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</si>
  <si>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</si>
  <si>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</si>
  <si>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</si>
  <si>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</si>
  <si>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</si>
  <si>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</si>
  <si>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</si>
  <si>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</si>
  <si>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</si>
  <si>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</si>
  <si>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</si>
  <si>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</si>
  <si>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</si>
  <si>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</si>
  <si>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</si>
  <si>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</si>
  <si>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</si>
  <si>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</si>
  <si>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</si>
  <si>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</si>
  <si>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</si>
  <si>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</si>
  <si>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</si>
  <si>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</si>
  <si>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</si>
  <si>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</si>
  <si>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</si>
  <si>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</si>
  <si>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</si>
  <si>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</si>
  <si>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</si>
  <si>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</si>
  <si>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</si>
  <si>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</si>
  <si>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</si>
  <si>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</si>
  <si>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</si>
  <si>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</si>
  <si>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</si>
  <si>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</si>
  <si>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</si>
  <si>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</si>
  <si>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</si>
  <si>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</si>
  <si>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</si>
  <si>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</si>
  <si>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</si>
  <si>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</si>
  <si>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</si>
  <si>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</si>
  <si>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</si>
  <si>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</si>
  <si>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</si>
  <si>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</si>
  <si>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</si>
  <si>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</si>
  <si>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</si>
  <si>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</si>
  <si>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</si>
  <si>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</si>
  <si>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</si>
  <si>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</si>
  <si>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</si>
  <si>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</si>
  <si>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</si>
  <si>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</si>
  <si>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</si>
  <si>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</si>
  <si>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</si>
  <si>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</si>
  <si>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</si>
  <si>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</si>
  <si>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</si>
  <si>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</si>
  <si>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</si>
  <si>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</si>
  <si>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</si>
  <si>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</si>
  <si>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</si>
  <si>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</si>
  <si>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</si>
  <si>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</si>
  <si>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</si>
  <si>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</si>
  <si>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</si>
  <si>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</si>
  <si>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</si>
  <si>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</si>
  <si>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</si>
  <si>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</si>
  <si>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</si>
  <si>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</si>
  <si>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</si>
  <si>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</si>
  <si>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</si>
  <si>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</si>
  <si>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</si>
  <si>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</si>
  <si>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</si>
  <si>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</si>
  <si>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</si>
  <si>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</si>
  <si>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</si>
  <si>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</si>
  <si>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</si>
  <si>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</si>
  <si>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</si>
  <si>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</si>
  <si>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</si>
  <si>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</si>
  <si>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</si>
  <si>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</si>
  <si>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</si>
  <si>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</si>
  <si>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</si>
  <si>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</si>
  <si>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</si>
  <si>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</si>
  <si>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</si>
  <si>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</si>
  <si>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</si>
  <si>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</si>
  <si>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</si>
  <si>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</si>
  <si>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</si>
  <si>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</si>
  <si>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</si>
  <si>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</si>
  <si>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</si>
  <si>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</si>
  <si>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</si>
  <si>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</si>
  <si>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</si>
  <si>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</si>
  <si>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</si>
  <si>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</si>
  <si>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</si>
  <si>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</si>
  <si>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</si>
  <si>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</si>
  <si>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</si>
  <si>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</si>
  <si>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</si>
  <si>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</si>
  <si>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</si>
  <si>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</si>
  <si>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</si>
  <si>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</si>
  <si>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</si>
  <si>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</si>
  <si>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</si>
  <si>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</si>
  <si>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</si>
  <si>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</si>
  <si>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</si>
  <si>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</si>
  <si>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</si>
  <si>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</si>
  <si>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</si>
  <si>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</si>
  <si>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</si>
  <si>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</si>
  <si>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</si>
  <si>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</si>
  <si>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</si>
  <si>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</si>
  <si>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</si>
  <si>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</si>
  <si>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</si>
  <si>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</si>
  <si>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</si>
  <si>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</si>
  <si>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</si>
  <si>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</si>
  <si>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</si>
  <si>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</si>
  <si>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</si>
  <si>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</si>
  <si>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</si>
  <si>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</si>
  <si>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</si>
  <si>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</si>
  <si>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</si>
  <si>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</si>
  <si>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</si>
  <si>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</si>
  <si>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</si>
  <si>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</si>
  <si>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</si>
  <si>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</si>
  <si>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</si>
  <si>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</si>
  <si>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</si>
  <si>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</si>
  <si>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</si>
  <si>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</si>
  <si>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</si>
  <si>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</si>
  <si>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</si>
  <si>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</si>
  <si>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</si>
  <si>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</si>
  <si>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</si>
  <si>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</si>
  <si>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</si>
  <si>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</si>
  <si>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</si>
  <si>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</si>
  <si>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</si>
  <si>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</si>
  <si>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</si>
  <si>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</si>
  <si>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</si>
  <si>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</si>
  <si>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</si>
  <si>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</si>
  <si>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</si>
  <si>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</si>
  <si>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</si>
  <si>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</si>
  <si>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</si>
  <si>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</si>
  <si>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</si>
  <si>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</si>
  <si>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</si>
  <si>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</si>
  <si>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</si>
  <si>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</si>
  <si>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</si>
  <si>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</si>
  <si>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</si>
  <si>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</si>
  <si>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</si>
  <si>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</si>
  <si>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</si>
  <si>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</si>
  <si>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</si>
  <si>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</si>
  <si>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</si>
  <si>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</si>
  <si>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</si>
  <si>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</si>
  <si>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</si>
  <si>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</si>
  <si>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</si>
  <si>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</si>
  <si>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</si>
  <si>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</si>
  <si>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</si>
  <si>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</si>
  <si>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</si>
  <si>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</si>
  <si>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</si>
  <si>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</si>
  <si>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</si>
  <si>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</si>
  <si>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</si>
  <si>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</si>
  <si>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</si>
  <si>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</si>
  <si>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</si>
  <si>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</si>
  <si>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</si>
  <si>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</si>
  <si>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</si>
  <si>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</si>
  <si>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</si>
  <si>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</si>
  <si>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</si>
  <si>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</si>
  <si>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</si>
  <si>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</si>
  <si>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</si>
  <si>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</si>
  <si>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</si>
  <si>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</si>
  <si>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</si>
  <si>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</si>
  <si>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</si>
  <si>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</si>
  <si>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</si>
  <si>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</si>
  <si>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</si>
  <si>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</si>
  <si>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</si>
  <si>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</si>
  <si>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</si>
  <si>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</si>
  <si>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</si>
  <si>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</si>
  <si>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</si>
  <si>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</si>
  <si>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</si>
  <si>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</si>
  <si>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</si>
  <si>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</si>
  <si>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</si>
  <si>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</si>
  <si>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</si>
  <si>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</si>
  <si>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</si>
  <si>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</si>
  <si>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</si>
  <si>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</si>
  <si>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</si>
  <si>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</si>
  <si>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</si>
  <si>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</si>
  <si>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</si>
  <si>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</si>
  <si>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</si>
  <si>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</si>
  <si>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</si>
  <si>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</si>
  <si>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</si>
  <si>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</si>
  <si>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</si>
  <si>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</si>
  <si>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</si>
  <si>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</si>
  <si>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</si>
  <si>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</si>
  <si>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</si>
  <si>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</si>
  <si>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</si>
  <si>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</si>
  <si>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</si>
  <si>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</si>
  <si>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</si>
  <si>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</si>
  <si>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</si>
  <si>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</si>
  <si>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</si>
  <si>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</si>
  <si>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</si>
  <si>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</si>
  <si>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</si>
  <si>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</si>
  <si>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</si>
  <si>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</si>
  <si>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</si>
  <si>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</si>
  <si>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</si>
  <si>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</si>
  <si>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</si>
  <si>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</si>
  <si>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</si>
  <si>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</si>
  <si>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</si>
  <si>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</si>
  <si>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</si>
  <si>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</si>
  <si>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</si>
  <si>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</si>
  <si>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</si>
  <si>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</si>
  <si>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</si>
  <si>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</si>
  <si>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</si>
  <si>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</si>
  <si>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</si>
  <si>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</si>
  <si>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</si>
  <si>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</si>
  <si>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</si>
  <si>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</si>
  <si>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</si>
  <si>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</si>
  <si>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</si>
  <si>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</si>
  <si>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</si>
  <si>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</si>
  <si>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</si>
  <si>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</si>
  <si>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</si>
  <si>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</si>
  <si>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</si>
  <si>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</si>
  <si>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</si>
  <si>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</si>
  <si>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</si>
  <si>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</si>
  <si>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</si>
  <si>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</si>
  <si>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</si>
  <si>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</si>
  <si>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</si>
  <si>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</si>
  <si>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</si>
  <si>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</si>
  <si>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</si>
  <si>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</si>
  <si>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</si>
  <si>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</si>
  <si>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</si>
  <si>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</si>
  <si>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</si>
  <si>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</si>
  <si>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</si>
  <si>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</si>
  <si>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</si>
  <si>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</si>
  <si>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</si>
  <si>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</si>
  <si>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</si>
  <si>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</si>
  <si>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</si>
  <si>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</si>
  <si>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</si>
  <si>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</si>
  <si>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</si>
  <si>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</si>
  <si>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</si>
  <si>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</si>
  <si>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</si>
  <si>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</si>
  <si>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</si>
  <si>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</si>
  <si>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</si>
  <si>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</si>
  <si>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</si>
  <si>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</si>
  <si>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</si>
  <si>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</si>
  <si>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</si>
  <si>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</si>
  <si>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</si>
  <si>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</si>
  <si>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</si>
  <si>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</si>
  <si>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</si>
  <si>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</si>
  <si>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</si>
  <si>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</si>
  <si>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</si>
  <si>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</si>
  <si>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</si>
  <si>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</si>
  <si>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</si>
  <si>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</si>
  <si>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</si>
  <si>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</si>
  <si>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</si>
  <si>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</si>
  <si>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</si>
  <si>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</si>
  <si>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</si>
  <si>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</si>
  <si>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</si>
  <si>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</si>
  <si>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</si>
  <si>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</si>
  <si>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</si>
  <si>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</si>
  <si>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</si>
  <si>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</si>
  <si>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</si>
  <si>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</si>
  <si>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</si>
  <si>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</si>
  <si>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</si>
  <si>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</si>
  <si>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</si>
  <si>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</si>
  <si>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</si>
  <si>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</si>
  <si>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</si>
  <si>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</si>
  <si>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</si>
  <si>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</si>
  <si>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</si>
  <si>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</si>
  <si>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</si>
  <si>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</si>
  <si>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</si>
  <si>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</si>
  <si>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</si>
  <si>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</si>
  <si>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</si>
  <si>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</si>
  <si>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</si>
  <si>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</si>
  <si>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</si>
  <si>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</si>
  <si>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</si>
  <si>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</si>
  <si>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</si>
  <si>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</si>
  <si>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</si>
  <si>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</si>
  <si>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</si>
  <si>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</si>
  <si>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</si>
  <si>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</si>
  <si>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</si>
  <si>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</si>
  <si>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</si>
  <si>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</si>
  <si>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</si>
  <si>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</si>
  <si>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</si>
  <si>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</si>
  <si>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</si>
  <si>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</si>
  <si>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</si>
  <si>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</si>
  <si>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</si>
  <si>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</si>
  <si>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</si>
  <si>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</si>
  <si>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</si>
  <si>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</si>
  <si>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</si>
  <si>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</si>
  <si>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</si>
  <si>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</si>
  <si>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</si>
  <si>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</si>
  <si>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</si>
  <si>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</si>
  <si>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</si>
  <si>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</si>
  <si>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</si>
  <si>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</si>
  <si>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</si>
  <si>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</si>
  <si>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</si>
  <si>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</si>
  <si>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</si>
  <si>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</si>
  <si>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</si>
  <si>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</si>
  <si>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</si>
  <si>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</si>
  <si>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</si>
  <si>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</si>
  <si>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</si>
  <si>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</si>
  <si>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</si>
  <si>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</si>
  <si>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</si>
  <si>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</si>
  <si>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</si>
  <si>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</si>
  <si>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</si>
  <si>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</si>
  <si>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</si>
  <si>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</si>
  <si>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</si>
  <si>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</si>
  <si>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</si>
  <si>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</si>
  <si>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</si>
  <si>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</si>
  <si>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</si>
  <si>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</si>
  <si>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</si>
  <si>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</si>
  <si>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</si>
  <si>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</si>
  <si>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</si>
  <si>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</si>
  <si>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</si>
  <si>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</si>
  <si>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</si>
  <si>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</si>
  <si>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</si>
  <si>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</si>
  <si>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</si>
  <si>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</si>
  <si>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</si>
  <si>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</si>
  <si>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</si>
  <si>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</si>
  <si>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</si>
  <si>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</si>
  <si>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</si>
  <si>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</si>
  <si>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</si>
  <si>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</si>
  <si>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</si>
  <si>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</si>
  <si>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</si>
  <si>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</si>
  <si>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</si>
  <si>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</si>
  <si>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</si>
  <si>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</si>
  <si>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</si>
  <si>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</si>
  <si>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</si>
  <si>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</si>
  <si>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</si>
  <si>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</si>
  <si>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</si>
  <si>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</si>
  <si>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</si>
  <si>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</si>
  <si>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</si>
  <si>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</si>
  <si>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</si>
  <si>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</si>
  <si>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</si>
  <si>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</si>
  <si>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</si>
  <si>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</si>
  <si>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</si>
  <si>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</si>
  <si>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</si>
  <si>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</si>
  <si>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</si>
  <si>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</si>
  <si>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</si>
  <si>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</si>
  <si>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</si>
  <si>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</si>
  <si>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</si>
  <si>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</si>
  <si>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</si>
  <si>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</si>
  <si>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</si>
  <si>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</si>
  <si>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</si>
  <si>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</si>
  <si>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</si>
  <si>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</si>
  <si>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</si>
  <si>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</si>
  <si>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</si>
  <si>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</si>
  <si>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</si>
  <si>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</si>
  <si>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</si>
  <si>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</si>
  <si>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</si>
  <si>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</si>
  <si>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</si>
  <si>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</si>
  <si>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</si>
  <si>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</si>
  <si>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</si>
  <si>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</si>
  <si>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</si>
  <si>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</si>
  <si>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</si>
  <si>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</si>
  <si>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</si>
  <si>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</si>
  <si>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</si>
  <si>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</si>
  <si>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</si>
  <si>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</si>
  <si>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</si>
  <si>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</si>
  <si>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</si>
  <si>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</si>
  <si>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</si>
  <si>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</si>
  <si>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</si>
  <si>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</si>
  <si>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</si>
  <si>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</si>
  <si>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</si>
  <si>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</si>
  <si>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</si>
  <si>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</si>
  <si>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</si>
  <si>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</si>
  <si>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</si>
  <si>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</si>
  <si>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</si>
  <si>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</si>
  <si>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</si>
  <si>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</si>
  <si>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</si>
  <si>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</si>
  <si>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</si>
  <si>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</si>
  <si>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</si>
  <si>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</si>
  <si>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</si>
  <si>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</si>
  <si>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</si>
  <si>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</si>
  <si>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</si>
  <si>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</si>
  <si>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</si>
  <si>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</si>
  <si>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</si>
  <si>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</si>
  <si>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</si>
  <si>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</si>
  <si>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</si>
  <si>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</si>
  <si>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</si>
  <si>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</si>
  <si>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</si>
  <si>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</si>
  <si>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</si>
  <si>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</si>
  <si>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</si>
  <si>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</si>
  <si>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</si>
  <si>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</si>
  <si>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</si>
  <si>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</si>
  <si>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</si>
  <si>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</si>
  <si>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</si>
  <si>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</si>
  <si>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</si>
  <si>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</si>
  <si>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</si>
  <si>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</si>
  <si>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</si>
  <si>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</si>
  <si>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</si>
  <si>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</si>
  <si>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</si>
  <si>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</si>
  <si>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</si>
  <si>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</si>
  <si>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</si>
  <si>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</si>
  <si>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</si>
  <si>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</si>
  <si>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</si>
  <si>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</si>
  <si>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</si>
  <si>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</si>
  <si>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</si>
  <si>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</si>
  <si>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</si>
  <si>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</si>
  <si>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</si>
  <si>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</si>
  <si>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</si>
  <si>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</si>
  <si>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</si>
  <si>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</si>
  <si>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</si>
  <si>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</si>
  <si>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</si>
  <si>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</si>
  <si>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</si>
  <si>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</si>
  <si>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</si>
  <si>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</si>
  <si>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</si>
  <si>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</si>
  <si>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</si>
  <si>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</si>
  <si>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</si>
  <si>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</si>
  <si>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</si>
  <si>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</si>
  <si>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</si>
  <si>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</si>
  <si>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</si>
  <si>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</si>
  <si>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</si>
  <si>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</si>
  <si>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</si>
  <si>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</si>
  <si>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</si>
  <si>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</si>
  <si>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</si>
  <si>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</si>
  <si>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</si>
  <si>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</si>
  <si>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</si>
  <si>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</si>
  <si>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</si>
  <si>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</si>
  <si>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</si>
  <si>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</si>
  <si>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</si>
  <si>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</si>
  <si>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</si>
  <si>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</si>
  <si>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</si>
  <si>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</si>
  <si>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</si>
  <si>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</si>
  <si>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</si>
  <si>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</si>
  <si>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</si>
  <si>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</si>
  <si>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</si>
  <si>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</si>
  <si>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</si>
  <si>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</si>
  <si>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</si>
  <si>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</si>
  <si>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</si>
  <si>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</si>
  <si>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</si>
  <si>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</si>
  <si>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</si>
  <si>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</si>
  <si>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</si>
  <si>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</si>
  <si>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</si>
  <si>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</si>
  <si>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</si>
  <si>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</si>
  <si>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</si>
  <si>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</si>
  <si>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</si>
  <si>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</si>
  <si>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</si>
  <si>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</si>
  <si>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</si>
  <si>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</si>
  <si>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</si>
  <si>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</si>
  <si>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</si>
  <si>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</si>
  <si>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</si>
  <si>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</si>
  <si>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</si>
  <si>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</si>
  <si>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</si>
  <si>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</si>
  <si>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</si>
  <si>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</si>
  <si>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</si>
  <si>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</si>
  <si>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</si>
  <si>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</si>
  <si>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</si>
  <si>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</si>
  <si>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</si>
  <si>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</si>
  <si>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</si>
  <si>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</si>
  <si>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</si>
  <si>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</si>
  <si>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</si>
  <si>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</si>
  <si>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</si>
  <si>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</si>
  <si>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</si>
  <si>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</si>
  <si>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</si>
  <si>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</si>
  <si>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</si>
  <si>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</si>
  <si>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</si>
  <si>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</si>
  <si>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</si>
  <si>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</si>
  <si>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</si>
  <si>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</si>
  <si>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</si>
  <si>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</si>
  <si>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</si>
  <si>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</si>
  <si>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</si>
  <si>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</si>
  <si>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</si>
  <si>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</si>
  <si>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</si>
  <si>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</si>
  <si>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</si>
  <si>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</si>
  <si>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</si>
  <si>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</si>
  <si>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</si>
  <si>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</si>
  <si>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</si>
  <si>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</si>
  <si>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</si>
  <si>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</si>
  <si>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</si>
  <si>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</si>
  <si>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</si>
  <si>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</si>
  <si>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</si>
  <si>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</si>
  <si>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</si>
  <si>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</si>
  <si>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</si>
  <si>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</si>
  <si>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</si>
  <si>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</si>
  <si>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</si>
  <si>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</si>
  <si>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</si>
  <si>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</si>
  <si>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</si>
  <si>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</si>
  <si>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</si>
  <si>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</si>
  <si>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</si>
  <si>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</si>
  <si>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</si>
  <si>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</si>
  <si>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</si>
  <si>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</si>
  <si>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</si>
  <si>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</si>
  <si>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</si>
  <si>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</si>
  <si>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</si>
  <si>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</si>
  <si>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</si>
  <si>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</si>
  <si>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</si>
  <si>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</si>
  <si>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</si>
  <si>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</si>
  <si>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</si>
  <si>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</si>
  <si>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</si>
  <si>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</si>
  <si>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</si>
  <si>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</si>
  <si>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</si>
  <si>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</si>
  <si>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</si>
  <si>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</si>
  <si>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</si>
  <si>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</si>
  <si>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</si>
  <si>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</si>
  <si>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</si>
  <si>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</si>
  <si>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</si>
  <si>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</si>
  <si>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</si>
  <si>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</si>
  <si>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</si>
  <si>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</si>
  <si>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</si>
  <si>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</si>
  <si>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</si>
  <si>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</si>
  <si>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</si>
  <si>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</si>
  <si>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</si>
  <si>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</si>
  <si>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</si>
  <si>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</si>
  <si>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</si>
  <si>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</si>
  <si>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</si>
  <si>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</si>
  <si>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</si>
  <si>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</si>
  <si>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</si>
  <si>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</si>
  <si>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</si>
  <si>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</si>
  <si>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</si>
  <si>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</si>
  <si>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</si>
  <si>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</si>
  <si>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</si>
  <si>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</si>
  <si>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</si>
  <si>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</si>
  <si>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</si>
  <si>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</si>
  <si>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</si>
  <si>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</si>
  <si>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</si>
  <si>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</si>
  <si>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</si>
  <si>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</si>
  <si>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</si>
  <si>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</si>
  <si>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</si>
  <si>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</si>
  <si>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</si>
  <si>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</si>
  <si>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</si>
  <si>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</si>
  <si>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</si>
  <si>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</si>
  <si>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</si>
  <si>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</si>
  <si>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</si>
  <si>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</si>
  <si>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</si>
  <si>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</si>
  <si>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</si>
  <si>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</si>
  <si>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</si>
  <si>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</si>
  <si>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</si>
  <si>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</si>
  <si>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</si>
  <si>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</si>
  <si>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</si>
  <si>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</si>
  <si>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</si>
  <si>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</si>
  <si>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</si>
  <si>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</si>
  <si>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</si>
  <si>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</si>
  <si>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</si>
  <si>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</si>
  <si>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</si>
  <si>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</si>
  <si>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</si>
  <si>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</si>
  <si>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</si>
  <si>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</si>
  <si>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</si>
  <si>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</si>
  <si>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</si>
  <si>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</si>
  <si>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</si>
  <si>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</si>
  <si>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</si>
  <si>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</si>
  <si>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</si>
  <si>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</si>
  <si>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</si>
  <si>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</si>
  <si>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</si>
  <si>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</si>
  <si>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</si>
  <si>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</si>
  <si>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</si>
  <si>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</si>
  <si>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</si>
  <si>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</si>
  <si>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</si>
  <si>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</si>
  <si>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</si>
  <si>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</si>
  <si>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</si>
  <si>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</si>
  <si>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</si>
  <si>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</si>
  <si>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</si>
  <si>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</si>
  <si>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</si>
  <si>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</si>
  <si>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</si>
  <si>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</si>
  <si>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</si>
  <si>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</si>
  <si>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</si>
  <si>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</si>
  <si>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</si>
  <si>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</si>
  <si>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</si>
  <si>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</si>
  <si>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</si>
  <si>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</si>
  <si>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</si>
  <si>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</si>
  <si>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</si>
  <si>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</si>
  <si>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</si>
  <si>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</si>
  <si>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</si>
  <si>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</si>
  <si>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</si>
  <si>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</si>
  <si>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</si>
  <si>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</si>
  <si>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</si>
  <si>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</si>
  <si>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</si>
  <si>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</si>
  <si>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</si>
  <si>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</si>
  <si>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</si>
  <si>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</si>
  <si>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</si>
  <si>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</si>
  <si>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</si>
  <si>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</si>
  <si>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</si>
  <si>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</si>
  <si>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</si>
  <si>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</si>
  <si>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</si>
  <si>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</si>
  <si>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</si>
  <si>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</si>
  <si>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</si>
  <si>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</si>
  <si>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</si>
  <si>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</si>
  <si>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</si>
  <si>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</si>
  <si>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</si>
  <si>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</si>
  <si>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</si>
  <si>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</si>
  <si>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</si>
  <si>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</si>
  <si>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</si>
  <si>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</si>
  <si>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</si>
  <si>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</si>
  <si>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</si>
  <si>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</si>
  <si>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</si>
  <si>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</si>
  <si>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</si>
  <si>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</si>
  <si>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</si>
  <si>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</si>
  <si>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</si>
  <si>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</si>
  <si>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</si>
  <si>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</si>
  <si>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</si>
  <si>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</si>
  <si>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</si>
  <si>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</si>
  <si>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</si>
  <si>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</si>
  <si>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</si>
  <si>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</si>
  <si>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</si>
  <si>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</si>
  <si>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</si>
  <si>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</si>
  <si>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</si>
  <si>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</si>
  <si>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</si>
  <si>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</si>
  <si>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</si>
  <si>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</si>
  <si>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</si>
  <si>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</si>
  <si>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</si>
  <si>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</si>
  <si>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</si>
  <si>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</si>
  <si>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</si>
  <si>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</si>
  <si>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</si>
  <si>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</si>
  <si>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</si>
  <si>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</si>
  <si>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</si>
  <si>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</si>
  <si>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</si>
  <si>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</si>
  <si>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</si>
  <si>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</si>
  <si>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</si>
  <si>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</si>
  <si>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</si>
  <si>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</si>
  <si>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</si>
  <si>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</si>
  <si>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</si>
  <si>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</si>
  <si>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</si>
  <si>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</si>
  <si>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</si>
  <si>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</si>
  <si>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</si>
  <si>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</si>
  <si>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</si>
  <si>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</si>
  <si>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</si>
  <si>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</si>
  <si>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</si>
  <si>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</si>
  <si>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</si>
  <si>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</si>
  <si>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</si>
  <si>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</si>
  <si>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</si>
  <si>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</si>
  <si>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</si>
  <si>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</si>
  <si>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</si>
  <si>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</si>
  <si>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</si>
  <si>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</si>
  <si>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</si>
  <si>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</si>
  <si>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</si>
  <si>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</si>
  <si>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</si>
  <si>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</si>
  <si>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</si>
  <si>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</si>
  <si>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</si>
  <si>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</si>
  <si>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</si>
  <si>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</si>
  <si>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</si>
  <si>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</si>
  <si>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</si>
  <si>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</si>
  <si>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</si>
  <si>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</si>
  <si>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</si>
  <si>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</si>
  <si>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</si>
  <si>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</si>
  <si>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</si>
  <si>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</si>
  <si>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</si>
  <si>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</si>
  <si>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</si>
  <si>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</si>
  <si>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</si>
  <si>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</si>
  <si>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</si>
  <si>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</si>
  <si>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</si>
  <si>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</si>
  <si>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</si>
  <si>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</si>
  <si>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</si>
  <si>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</si>
  <si>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</si>
  <si>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</si>
  <si>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</si>
  <si>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</si>
  <si>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</si>
  <si>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</si>
  <si>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</si>
  <si>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</si>
  <si>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</si>
  <si>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</si>
  <si>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</si>
  <si>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</si>
  <si>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</si>
  <si>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</si>
  <si>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</si>
  <si>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</si>
  <si>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</si>
  <si>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</si>
  <si>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</si>
  <si>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</si>
  <si>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</si>
  <si>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</si>
  <si>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</si>
  <si>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</si>
  <si>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</si>
  <si>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</si>
  <si>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</si>
  <si>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</si>
  <si>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</si>
  <si>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</si>
  <si>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</si>
  <si>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</si>
  <si>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</si>
  <si>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</si>
  <si>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</si>
  <si>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</si>
  <si>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</si>
  <si>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</si>
  <si>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</si>
  <si>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</si>
  <si>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</si>
  <si>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</si>
  <si>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</si>
  <si>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</si>
  <si>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</si>
  <si>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</si>
  <si>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</si>
  <si>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</si>
  <si>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</si>
  <si>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</si>
  <si>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</si>
  <si>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</si>
  <si>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</si>
  <si>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</si>
  <si>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</si>
  <si>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</si>
  <si>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</si>
  <si>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</si>
  <si>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</si>
  <si>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</si>
  <si>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</si>
  <si>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</si>
  <si>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</si>
  <si>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</si>
  <si>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</si>
  <si>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</si>
  <si>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</si>
  <si>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</si>
  <si>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</si>
  <si>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</si>
  <si>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</si>
  <si>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</si>
  <si>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</si>
  <si>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</si>
  <si>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</si>
  <si>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</si>
  <si>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</si>
  <si>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</si>
  <si>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</si>
  <si>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</si>
  <si>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</si>
  <si>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</si>
  <si>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</si>
  <si>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</si>
  <si>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</si>
  <si>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</si>
  <si>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</si>
  <si>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</si>
  <si>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</si>
  <si>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</si>
  <si>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</si>
  <si>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</si>
  <si>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</si>
  <si>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</si>
  <si>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</si>
  <si>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</si>
  <si>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</si>
  <si>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</si>
  <si>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</si>
  <si>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</si>
  <si>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</si>
  <si>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</si>
  <si>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</si>
  <si>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</si>
  <si>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</si>
  <si>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</si>
  <si>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</si>
  <si>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</si>
  <si>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</si>
  <si>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</si>
  <si>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</si>
  <si>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</si>
  <si>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</si>
  <si>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</si>
  <si>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</si>
  <si>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</si>
  <si>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</si>
  <si>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</si>
  <si>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</si>
  <si>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</si>
  <si>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</si>
  <si>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</si>
  <si>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</si>
  <si>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</si>
  <si>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</si>
  <si>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</si>
  <si>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</si>
  <si>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</si>
  <si>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</si>
  <si>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</si>
  <si>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</si>
  <si>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</si>
  <si>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</si>
  <si>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</si>
  <si>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</si>
  <si>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</si>
  <si>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</si>
  <si>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</si>
  <si>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</si>
  <si>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</si>
  <si>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</si>
  <si>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</si>
  <si>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</si>
  <si>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</si>
  <si>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</si>
  <si>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</si>
  <si>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</si>
  <si>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</si>
  <si>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</si>
  <si>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</si>
  <si>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</si>
  <si>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</si>
  <si>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</si>
  <si>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</si>
  <si>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</si>
  <si>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</si>
  <si>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</si>
  <si>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</si>
  <si>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</si>
  <si>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</si>
  <si>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</si>
  <si>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</si>
  <si>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</si>
  <si>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</si>
  <si>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</si>
  <si>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</si>
  <si>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</si>
  <si>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</si>
  <si>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</si>
  <si>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</si>
  <si>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</si>
  <si>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</si>
  <si>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</si>
  <si>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</si>
  <si>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</si>
  <si>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</si>
  <si>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</si>
  <si>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</si>
  <si>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</si>
  <si>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</si>
  <si>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</si>
  <si>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</si>
  <si>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</si>
  <si>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</si>
  <si>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</si>
  <si>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</si>
  <si>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</si>
  <si>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</si>
  <si>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</si>
  <si>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</si>
  <si>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</si>
  <si>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</si>
  <si>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</si>
  <si>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</si>
  <si>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</si>
  <si>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</si>
  <si>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</si>
  <si>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</si>
  <si>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</si>
  <si>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</si>
  <si>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</si>
  <si>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</si>
  <si>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</si>
  <si>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</si>
  <si>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</si>
  <si>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</si>
  <si>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</si>
  <si>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</si>
  <si>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</si>
  <si>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</si>
  <si>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</si>
  <si>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</si>
  <si>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</si>
  <si>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</si>
  <si>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</si>
  <si>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</si>
  <si>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</si>
  <si>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</si>
  <si>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</si>
  <si>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</si>
  <si>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</si>
  <si>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</si>
  <si>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</si>
  <si>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</si>
  <si>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</si>
  <si>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</si>
  <si>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</si>
  <si>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</si>
  <si>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</si>
  <si>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</si>
  <si>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</si>
  <si>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</si>
  <si>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</si>
  <si>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</si>
  <si>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</si>
  <si>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</si>
  <si>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</si>
  <si>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</si>
  <si>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</si>
  <si>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</si>
  <si>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</si>
  <si>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</si>
  <si>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</si>
  <si>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</si>
  <si>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</si>
  <si>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</si>
  <si>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</si>
  <si>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</si>
  <si>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</si>
  <si>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</si>
  <si>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</si>
  <si>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</si>
  <si>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</si>
  <si>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</si>
  <si>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</si>
  <si>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</si>
  <si>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</si>
  <si>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</si>
  <si>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</si>
  <si>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</si>
  <si>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</si>
  <si>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</si>
  <si>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</si>
  <si>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</si>
  <si>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</si>
  <si>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</si>
  <si>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</si>
  <si>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</si>
  <si>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</si>
  <si>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</si>
  <si>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</si>
  <si>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</si>
  <si>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</si>
  <si>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</si>
  <si>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</si>
  <si>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</si>
  <si>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</si>
  <si>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</si>
  <si>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</si>
  <si>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</si>
  <si>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</si>
  <si>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</si>
  <si>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</si>
  <si>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</si>
  <si>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</si>
  <si>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</si>
  <si>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</si>
  <si>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</si>
  <si>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</si>
  <si>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</si>
  <si>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</si>
  <si>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</si>
  <si>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</si>
  <si>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</si>
  <si>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</si>
  <si>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</si>
  <si>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</si>
  <si>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</si>
  <si>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</si>
  <si>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</si>
  <si>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</si>
  <si>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</si>
  <si>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</si>
  <si>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</si>
  <si>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</si>
  <si>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</si>
  <si>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</si>
  <si>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</si>
  <si>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</si>
  <si>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</si>
  <si>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</si>
  <si>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</si>
  <si>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</si>
  <si>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</si>
  <si>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</si>
  <si>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</si>
  <si>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</si>
  <si>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</si>
  <si>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</si>
  <si>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</si>
  <si>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</si>
  <si>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</si>
  <si>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</si>
  <si>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</si>
  <si>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</si>
  <si>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</si>
  <si>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</si>
  <si>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</si>
  <si>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</si>
  <si>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</si>
  <si>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</si>
  <si>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</si>
  <si>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</si>
  <si>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</si>
  <si>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</si>
  <si>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</si>
  <si>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</si>
  <si>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</si>
  <si>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</si>
  <si>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</si>
  <si>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</si>
  <si>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</si>
  <si>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</si>
  <si>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</si>
  <si>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</si>
  <si>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</si>
  <si>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</si>
  <si>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</si>
  <si>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</si>
  <si>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</si>
  <si>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</si>
  <si>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</si>
  <si>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</si>
  <si>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</si>
  <si>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</si>
  <si>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</si>
  <si>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</si>
  <si>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</si>
  <si>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</si>
  <si>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</si>
  <si>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</si>
  <si>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</si>
  <si>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</si>
  <si>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</si>
  <si>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</si>
  <si>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</si>
  <si>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</si>
  <si>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</si>
  <si>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</si>
  <si>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</si>
  <si>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</si>
  <si>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</si>
  <si>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</si>
  <si>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</si>
  <si>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</si>
  <si>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</si>
  <si>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</si>
  <si>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</si>
  <si>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</si>
  <si>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</si>
  <si>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</si>
  <si>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</si>
  <si>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</si>
  <si>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</si>
  <si>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</si>
  <si>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</si>
  <si>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</si>
  <si>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</si>
  <si>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</si>
  <si>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</si>
  <si>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</si>
  <si>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</si>
  <si>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</si>
  <si>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</si>
  <si>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</si>
  <si>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</si>
  <si>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</si>
  <si>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</si>
  <si>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</si>
  <si>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</si>
  <si>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</si>
  <si>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</si>
  <si>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</si>
  <si>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</si>
  <si>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</si>
  <si>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</si>
  <si>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</si>
  <si>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</si>
  <si>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</si>
  <si>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</si>
  <si>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</si>
  <si>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</si>
  <si>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</si>
  <si>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</si>
  <si>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</si>
  <si>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</si>
  <si>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</si>
  <si>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</si>
  <si>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</si>
  <si>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</si>
  <si>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</si>
  <si>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</si>
  <si>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</si>
  <si>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</si>
  <si>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</si>
  <si>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</si>
  <si>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</si>
  <si>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</si>
  <si>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</si>
  <si>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</si>
  <si>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</si>
  <si>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</si>
  <si>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</si>
  <si>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</si>
  <si>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</si>
  <si>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</si>
  <si>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</si>
  <si>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</si>
  <si>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</si>
  <si>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</si>
  <si>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</si>
  <si>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</si>
  <si>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</si>
  <si>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</si>
  <si>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</si>
  <si>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</si>
  <si>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</si>
  <si>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</si>
  <si>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</si>
  <si>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</si>
  <si>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</si>
  <si>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</si>
  <si>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</si>
  <si>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</si>
  <si>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</si>
  <si>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</si>
  <si>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</si>
  <si>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</si>
  <si>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</si>
  <si>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</si>
  <si>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</si>
  <si>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</si>
  <si>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</si>
  <si>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</si>
  <si>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</si>
  <si>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</si>
  <si>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</si>
  <si>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</si>
  <si>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</si>
  <si>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</si>
  <si>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</si>
  <si>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</si>
  <si>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</si>
  <si>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</si>
  <si>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</si>
  <si>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</si>
  <si>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</si>
  <si>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</si>
  <si>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</si>
  <si>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</si>
  <si>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</si>
  <si>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</si>
  <si>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</si>
  <si>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</si>
  <si>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</si>
  <si>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</si>
  <si>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</si>
  <si>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</si>
  <si>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</si>
  <si>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</si>
  <si>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</si>
  <si>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</si>
  <si>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</si>
  <si>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</si>
  <si>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</si>
  <si>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</si>
  <si>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</si>
  <si>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</si>
  <si>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</si>
  <si>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</si>
  <si>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</si>
  <si>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</si>
  <si>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</si>
  <si>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</si>
  <si>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</si>
  <si>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</si>
  <si>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</si>
  <si>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</si>
  <si>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</si>
  <si>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</si>
  <si>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</si>
  <si>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</si>
  <si>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</si>
  <si>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</si>
  <si>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</si>
  <si>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</si>
  <si>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</si>
  <si>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</si>
  <si>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</si>
  <si>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</si>
  <si>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</si>
  <si>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</si>
  <si>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</si>
  <si>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</si>
  <si>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</si>
  <si>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</si>
  <si>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</si>
  <si>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</si>
  <si>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</si>
  <si>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</si>
  <si>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</si>
  <si>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</si>
  <si>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</si>
  <si>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</si>
  <si>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</si>
  <si>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</si>
  <si>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</si>
  <si>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</si>
  <si>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</si>
  <si>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</si>
  <si>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</si>
  <si>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</si>
  <si>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</si>
  <si>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</si>
  <si>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</si>
  <si>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</si>
  <si>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</si>
  <si>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</si>
  <si>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</si>
  <si>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</si>
  <si>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</si>
  <si>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</si>
  <si>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</si>
  <si>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</si>
  <si>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</si>
  <si>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</si>
  <si>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</si>
  <si>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</si>
  <si>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</si>
  <si>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</si>
  <si>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</si>
  <si>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</si>
  <si>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</si>
  <si>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</si>
  <si>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</si>
  <si>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</si>
  <si>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</si>
  <si>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</si>
  <si>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</si>
  <si>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</si>
  <si>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</si>
  <si>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</si>
  <si>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</si>
  <si>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</si>
  <si>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</si>
  <si>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</si>
  <si>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</si>
  <si>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</si>
  <si>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</si>
  <si>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</si>
  <si>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</si>
  <si>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</si>
  <si>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</si>
  <si>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</si>
  <si>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</si>
  <si>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</si>
  <si>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</si>
  <si>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</si>
  <si>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</si>
  <si>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</si>
  <si>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</si>
  <si>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</si>
  <si>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</si>
  <si>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</si>
  <si>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</si>
  <si>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</si>
  <si>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</si>
  <si>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</si>
  <si>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</si>
  <si>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</si>
  <si>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</si>
  <si>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</si>
  <si>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</si>
  <si>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</si>
  <si>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</si>
  <si>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</si>
  <si>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</si>
  <si>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</si>
  <si>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</si>
  <si>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</si>
  <si>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</si>
  <si>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</si>
  <si>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</si>
  <si>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</si>
  <si>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</si>
  <si>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</si>
  <si>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</si>
  <si>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</si>
  <si>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</si>
  <si>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</si>
  <si>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</si>
  <si>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</si>
  <si>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</si>
  <si>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</si>
  <si>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</si>
  <si>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</si>
  <si>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</si>
  <si>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</si>
  <si>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</si>
  <si>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</si>
  <si>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</si>
  <si>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</si>
  <si>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</si>
  <si>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</si>
  <si>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</si>
  <si>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</si>
  <si>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</si>
  <si>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</si>
  <si>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</si>
  <si>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</si>
  <si>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</si>
  <si>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</si>
  <si>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</si>
  <si>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</si>
  <si>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</si>
  <si>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</si>
  <si>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</si>
  <si>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</si>
  <si>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</si>
  <si>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</si>
  <si>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</si>
  <si>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</si>
  <si>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</si>
  <si>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</si>
  <si>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</si>
  <si>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</si>
  <si>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</si>
  <si>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</si>
  <si>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</si>
  <si>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</si>
  <si>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</si>
  <si>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</si>
  <si>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</si>
  <si>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</si>
  <si>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</si>
  <si>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</si>
  <si>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</si>
  <si>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</si>
  <si>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</si>
  <si>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</si>
  <si>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</si>
  <si>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</si>
  <si>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</si>
  <si>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</si>
  <si>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</si>
  <si>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</si>
  <si>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</si>
  <si>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</si>
  <si>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</si>
  <si>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</si>
  <si>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</si>
  <si>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</si>
  <si>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</si>
  <si>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</si>
  <si>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</si>
  <si>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</si>
  <si>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</si>
  <si>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</si>
  <si>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</si>
  <si>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</si>
  <si>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</si>
  <si>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</si>
  <si>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</si>
  <si>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</si>
  <si>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</si>
  <si>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</si>
  <si>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</si>
  <si>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</si>
  <si>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</si>
  <si>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</si>
  <si>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</si>
  <si>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</si>
  <si>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</si>
  <si>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</si>
  <si>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</si>
  <si>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</si>
  <si>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</si>
  <si>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</si>
  <si>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</si>
  <si>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</si>
  <si>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</si>
  <si>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</si>
  <si>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</si>
  <si>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</si>
  <si>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</si>
  <si>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</si>
  <si>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</si>
  <si>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</si>
  <si>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</si>
  <si>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</si>
  <si>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</si>
  <si>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</si>
  <si>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</si>
  <si>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</si>
  <si>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</si>
  <si>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</si>
  <si>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</si>
  <si>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</si>
  <si>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</si>
  <si>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</si>
  <si>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</si>
  <si>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</si>
  <si>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</si>
  <si>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</si>
  <si>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</si>
  <si>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</si>
  <si>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</si>
  <si>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</si>
  <si>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</si>
  <si>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</si>
  <si>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</si>
  <si>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</si>
  <si>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</si>
  <si>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</si>
  <si>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</si>
  <si>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</si>
  <si>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</si>
  <si>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</si>
  <si>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</si>
  <si>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</si>
  <si>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</si>
  <si>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</si>
  <si>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</si>
  <si>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</si>
  <si>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</si>
  <si>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</si>
  <si>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</si>
  <si>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</si>
  <si>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</si>
  <si>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</si>
  <si>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</si>
  <si>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</si>
  <si>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</si>
  <si>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</si>
  <si>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</si>
  <si>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</si>
  <si>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</si>
  <si>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</si>
  <si>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</si>
  <si>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</si>
  <si>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</si>
  <si>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</si>
  <si>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</si>
  <si>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</si>
  <si>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</si>
  <si>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</si>
  <si>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</si>
  <si>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</si>
  <si>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</si>
  <si>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</si>
  <si>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</si>
  <si>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</si>
  <si>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</si>
  <si>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</si>
  <si>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</si>
  <si>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</si>
  <si>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</si>
  <si>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</si>
  <si>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</si>
  <si>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</si>
  <si>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</si>
  <si>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</si>
  <si>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</si>
  <si>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</si>
  <si>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</si>
  <si>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</si>
  <si>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</si>
  <si>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</si>
  <si>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</si>
  <si>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</si>
  <si>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</si>
  <si>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</si>
  <si>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</si>
  <si>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</si>
  <si>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</si>
  <si>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</si>
  <si>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</si>
  <si>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</si>
  <si>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</si>
  <si>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</si>
  <si>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</si>
  <si>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</si>
  <si>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</si>
  <si>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</si>
  <si>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</si>
  <si>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</si>
  <si>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</si>
  <si>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</si>
  <si>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</si>
  <si>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</si>
  <si>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</si>
  <si>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</si>
  <si>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</si>
  <si>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</si>
  <si>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</si>
  <si>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</si>
  <si>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</si>
  <si>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</si>
  <si>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</si>
  <si>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</si>
  <si>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</si>
  <si>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</si>
  <si>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</si>
  <si>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</si>
  <si>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</si>
  <si>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</si>
  <si>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</si>
  <si>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</si>
  <si>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</si>
  <si>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</si>
  <si>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</si>
  <si>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</si>
  <si>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</si>
  <si>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</si>
  <si>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</si>
  <si>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</si>
  <si>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</si>
  <si>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</si>
  <si>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</si>
  <si>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</si>
  <si>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</si>
  <si>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</si>
  <si>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</si>
  <si>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</si>
  <si>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</si>
  <si>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</si>
  <si>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</si>
  <si>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</si>
  <si>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</si>
  <si>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</si>
  <si>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</si>
  <si>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</si>
  <si>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</si>
  <si>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</si>
  <si>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</si>
  <si>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</si>
  <si>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</si>
  <si>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</si>
  <si>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</si>
  <si>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</si>
  <si>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</si>
  <si>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</si>
  <si>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</si>
  <si>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</si>
  <si>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</si>
  <si>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</si>
  <si>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</si>
  <si>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</si>
  <si>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</si>
  <si>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</si>
  <si>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</si>
  <si>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</si>
  <si>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</si>
  <si>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</si>
  <si>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</si>
  <si>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</si>
  <si>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</si>
  <si>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</si>
  <si>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</si>
  <si>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</si>
  <si>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</si>
  <si>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</si>
  <si>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</si>
  <si>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</si>
  <si>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</si>
  <si>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</si>
  <si>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</si>
  <si>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</si>
  <si>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</si>
  <si>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</si>
  <si>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</si>
  <si>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</si>
  <si>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</si>
  <si>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</si>
  <si>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</si>
  <si>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</si>
  <si>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</si>
  <si>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</si>
  <si>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</si>
  <si>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</si>
  <si>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</si>
  <si>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</si>
  <si>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</si>
  <si>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</si>
  <si>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</si>
  <si>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</si>
  <si>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</si>
  <si>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</si>
  <si>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</si>
  <si>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</si>
  <si>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</si>
  <si>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</si>
  <si>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</si>
  <si>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</si>
  <si>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</si>
  <si>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</si>
  <si>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</si>
  <si>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</si>
  <si>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</si>
  <si>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</si>
  <si>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</si>
  <si>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</si>
  <si>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</si>
  <si>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</si>
  <si>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</si>
  <si>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</si>
  <si>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</si>
  <si>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</si>
  <si>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</si>
  <si>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</si>
  <si>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</si>
  <si>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</si>
  <si>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</si>
  <si>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</si>
  <si>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</si>
  <si>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</si>
  <si>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</si>
  <si>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</si>
  <si>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</si>
  <si>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</si>
  <si>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</si>
  <si>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</si>
  <si>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</si>
  <si>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</si>
  <si>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</si>
  <si>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</si>
  <si>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</si>
  <si>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</si>
  <si>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</si>
  <si>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</si>
  <si>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</si>
  <si>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</si>
  <si>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</si>
  <si>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</si>
  <si>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</si>
  <si>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</si>
  <si>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</si>
  <si>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</si>
  <si>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</si>
  <si>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</si>
  <si>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</si>
  <si>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</si>
  <si>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</si>
  <si>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</si>
  <si>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</si>
  <si>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</si>
  <si>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</si>
  <si>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</si>
  <si>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</si>
  <si>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</si>
  <si>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</si>
  <si>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</si>
  <si>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</si>
  <si>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</si>
  <si>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</si>
  <si>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</si>
  <si>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</si>
  <si>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</si>
  <si>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</si>
  <si>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</si>
  <si>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</si>
  <si>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</si>
  <si>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</si>
  <si>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</si>
  <si>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</si>
  <si>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</si>
  <si>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</si>
  <si>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</si>
  <si>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</si>
  <si>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</si>
  <si>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</si>
  <si>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</si>
  <si>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</si>
  <si>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</si>
  <si>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</si>
  <si>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</si>
  <si>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</si>
  <si>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</si>
  <si>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</si>
  <si>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</si>
  <si>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</si>
  <si>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</si>
  <si>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</si>
  <si>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</si>
  <si>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</si>
  <si>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</si>
  <si>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</si>
  <si>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</si>
  <si>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</si>
  <si>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</si>
  <si>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</si>
  <si>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</si>
  <si>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</si>
  <si>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</si>
  <si>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</si>
  <si>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</si>
  <si>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</si>
  <si>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</si>
  <si>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</si>
  <si>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</si>
  <si>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</si>
  <si>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</si>
  <si>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</si>
  <si>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</si>
  <si>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</si>
  <si>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</si>
  <si>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</si>
  <si>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</si>
  <si>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</si>
  <si>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</si>
  <si>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</si>
  <si>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</si>
  <si>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</si>
  <si>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</si>
  <si>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</si>
  <si>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</si>
  <si>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</si>
  <si>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</si>
  <si>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</si>
  <si>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</si>
  <si>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</si>
  <si>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</si>
  <si>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</si>
  <si>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</si>
  <si>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</si>
  <si>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</si>
  <si>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</si>
  <si>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</si>
  <si>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</si>
  <si>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</si>
  <si>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</si>
  <si>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</si>
  <si>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</si>
  <si>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</si>
  <si>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</si>
  <si>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</si>
  <si>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</si>
  <si>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</si>
  <si>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</si>
  <si>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</si>
  <si>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</si>
  <si>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</si>
  <si>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</si>
  <si>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</si>
  <si>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</si>
  <si>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</si>
  <si>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</si>
  <si>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</si>
  <si>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</si>
  <si>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</si>
  <si>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</si>
  <si>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</si>
  <si>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</si>
  <si>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</si>
  <si>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</si>
  <si>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</si>
  <si>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</si>
  <si>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</si>
  <si>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</si>
  <si>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</si>
  <si>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</si>
  <si>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</si>
  <si>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</si>
  <si>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</si>
  <si>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</si>
  <si>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</si>
  <si>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</si>
  <si>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</si>
  <si>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</si>
  <si>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</si>
  <si>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</si>
  <si>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</si>
  <si>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</si>
  <si>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</si>
  <si>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</si>
  <si>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</si>
  <si>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</si>
  <si>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</si>
  <si>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</si>
  <si>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</si>
  <si>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</si>
  <si>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</si>
  <si>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</si>
  <si>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</si>
  <si>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</si>
  <si>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</si>
  <si>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</si>
  <si>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</si>
  <si>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</si>
  <si>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</si>
  <si>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</si>
  <si>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</si>
  <si>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</si>
  <si>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</si>
  <si>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</si>
  <si>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</si>
  <si>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</si>
  <si>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</si>
  <si>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</si>
  <si>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</si>
  <si>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</si>
  <si>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</si>
  <si>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</si>
  <si>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</si>
  <si>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</si>
  <si>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</si>
  <si>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</si>
  <si>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</si>
  <si>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</si>
  <si>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</si>
  <si>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</si>
  <si>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</si>
  <si>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</si>
  <si>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</si>
  <si>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</si>
  <si>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</si>
  <si>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</si>
  <si>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</si>
  <si>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</si>
  <si>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</si>
  <si>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</si>
  <si>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</si>
  <si>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</si>
  <si>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</si>
  <si>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</si>
  <si>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</si>
  <si>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</si>
  <si>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</si>
  <si>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</si>
  <si>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</si>
  <si>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</si>
  <si>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</si>
  <si>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</si>
  <si>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</si>
  <si>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</si>
  <si>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</si>
  <si>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</si>
  <si>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</si>
  <si>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</si>
  <si>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</si>
  <si>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</si>
  <si>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</si>
  <si>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</si>
  <si>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</si>
  <si>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</si>
  <si>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</si>
  <si>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</si>
  <si>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</si>
  <si>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</si>
  <si>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</si>
  <si>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</si>
  <si>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</si>
  <si>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</si>
  <si>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</si>
  <si>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</si>
  <si>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</si>
  <si>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</si>
  <si>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</si>
  <si>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</si>
  <si>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</si>
  <si>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</si>
  <si>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</si>
  <si>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</si>
  <si>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</si>
  <si>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</si>
  <si>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</si>
  <si>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</si>
  <si>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</si>
  <si>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</si>
  <si>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</si>
  <si>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</si>
  <si>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</si>
  <si>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</si>
  <si>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</si>
  <si>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</si>
  <si>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</si>
  <si>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</si>
  <si>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</si>
  <si>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</si>
  <si>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</si>
  <si>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</si>
  <si>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</si>
  <si>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</si>
  <si>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</si>
  <si>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</si>
  <si>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</si>
  <si>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</si>
  <si>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</si>
  <si>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</si>
  <si>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</si>
  <si>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</si>
  <si>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</si>
  <si>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</si>
  <si>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</si>
  <si>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</si>
  <si>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</si>
  <si>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</si>
  <si>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</si>
  <si>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</si>
  <si>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</si>
  <si>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</si>
  <si>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</si>
  <si>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</si>
  <si>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</si>
  <si>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</si>
  <si>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</si>
  <si>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</si>
  <si>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</si>
  <si>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</si>
  <si>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</si>
  <si>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</si>
  <si>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</si>
  <si>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</si>
  <si>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</si>
  <si>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</si>
  <si>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</si>
  <si>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</si>
  <si>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</si>
  <si>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</si>
  <si>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</si>
  <si>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</si>
  <si>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</si>
  <si>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</si>
  <si>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</si>
  <si>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</si>
  <si>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</si>
  <si>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</si>
  <si>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</si>
  <si>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</si>
  <si>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</si>
  <si>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</si>
  <si>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</si>
  <si>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</si>
  <si>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</si>
  <si>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</si>
  <si>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</si>
  <si>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</si>
  <si>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</si>
  <si>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</si>
  <si>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</si>
  <si>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</si>
  <si>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</si>
  <si>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</si>
  <si>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</si>
  <si>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</si>
  <si>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</si>
  <si>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</si>
  <si>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</si>
  <si>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</si>
  <si>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</si>
  <si>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</si>
  <si>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</si>
  <si>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</si>
  <si>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</si>
  <si>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</si>
  <si>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</si>
  <si>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</si>
  <si>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</si>
  <si>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</si>
  <si>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</si>
  <si>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</si>
  <si>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</si>
  <si>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</si>
  <si>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</si>
  <si>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</si>
  <si>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</si>
  <si>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</si>
  <si>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</si>
  <si>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</si>
  <si>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</si>
  <si>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</si>
  <si>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</si>
  <si>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</si>
  <si>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</si>
  <si>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</si>
  <si>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</si>
  <si>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</si>
  <si>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</si>
  <si>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</si>
  <si>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</si>
  <si>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</si>
  <si>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</si>
  <si>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</si>
  <si>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</si>
  <si>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</si>
  <si>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</si>
  <si>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</si>
  <si>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</si>
  <si>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</si>
  <si>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</si>
  <si>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</si>
  <si>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</si>
  <si>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</si>
  <si>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</si>
  <si>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</si>
  <si>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</si>
  <si>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</si>
  <si>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</si>
  <si>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</si>
  <si>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</si>
  <si>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</si>
  <si>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</si>
  <si>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</si>
  <si>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</si>
  <si>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</si>
  <si>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</si>
  <si>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</si>
  <si>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</si>
  <si>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</si>
  <si>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</si>
  <si>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</si>
  <si>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</si>
  <si>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</si>
  <si>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</si>
  <si>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</si>
  <si>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</si>
  <si>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</si>
  <si>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</si>
  <si>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</si>
  <si>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</si>
  <si>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</si>
  <si>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</si>
  <si>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</si>
  <si>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</si>
  <si>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</si>
  <si>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</si>
  <si>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</si>
  <si>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</si>
  <si>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</si>
  <si>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</si>
  <si>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</si>
  <si>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</si>
  <si>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</si>
  <si>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</si>
  <si>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</si>
  <si>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</si>
  <si>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</si>
  <si>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</si>
  <si>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</si>
  <si>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</si>
  <si>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</si>
  <si>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</si>
  <si>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</si>
  <si>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</si>
  <si>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</si>
  <si>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</si>
  <si>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</si>
  <si>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</si>
  <si>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</si>
  <si>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</si>
  <si>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</si>
  <si>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</si>
  <si>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</si>
  <si>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</si>
  <si>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</si>
  <si>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</si>
  <si>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</si>
  <si>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</si>
  <si>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</si>
  <si>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</si>
  <si>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</si>
  <si>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</si>
  <si>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</si>
  <si>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</si>
  <si>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</si>
  <si>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</si>
  <si>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</si>
  <si>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</si>
  <si>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</si>
  <si>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</si>
  <si>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</si>
  <si>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</si>
  <si>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</si>
  <si>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</si>
  <si>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</si>
  <si>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</si>
  <si>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</si>
  <si>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</si>
  <si>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</si>
  <si>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</si>
  <si>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</si>
  <si>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</si>
  <si>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</si>
  <si>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</si>
  <si>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</si>
  <si>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</si>
  <si>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</si>
  <si>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</si>
  <si>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</si>
  <si>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</si>
  <si>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</si>
  <si>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</si>
  <si>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</si>
  <si>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</si>
  <si>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</si>
  <si>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</si>
  <si>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</si>
  <si>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</si>
  <si>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</si>
  <si>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</si>
  <si>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</si>
  <si>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</si>
  <si>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</si>
  <si>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</si>
  <si>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</si>
  <si>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</si>
  <si>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</si>
  <si>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</si>
  <si>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</si>
  <si>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</si>
  <si>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</si>
  <si>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</si>
  <si>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</si>
  <si>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</si>
  <si>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</si>
  <si>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</si>
  <si>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</si>
  <si>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</si>
  <si>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</si>
  <si>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</si>
  <si>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</si>
  <si>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</si>
  <si>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</si>
  <si>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</si>
  <si>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</si>
  <si>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</si>
  <si>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</si>
  <si>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</si>
  <si>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</si>
  <si>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</si>
  <si>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</si>
  <si>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</si>
  <si>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</si>
  <si>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</si>
  <si>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</si>
  <si>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</si>
  <si>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</si>
  <si>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</si>
  <si>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</si>
  <si>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</si>
  <si>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</si>
  <si>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</si>
  <si>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</si>
  <si>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</si>
  <si>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</si>
  <si>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</si>
  <si>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</si>
  <si>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</si>
  <si>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</si>
  <si>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</si>
  <si>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</si>
  <si>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</si>
  <si>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</si>
  <si>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</si>
  <si>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</si>
  <si>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</si>
  <si>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</si>
  <si>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</si>
  <si>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</si>
  <si>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</si>
  <si>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</si>
  <si>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</si>
  <si>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</si>
  <si>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</si>
  <si>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</si>
  <si>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</si>
  <si>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</si>
  <si>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</si>
  <si>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</si>
  <si>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</si>
  <si>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</si>
  <si>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</si>
  <si>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</si>
  <si>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</si>
  <si>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</si>
  <si>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</si>
  <si>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</si>
  <si>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</si>
  <si>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</si>
  <si>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</si>
  <si>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</si>
  <si>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</si>
  <si>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</si>
  <si>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</si>
  <si>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</si>
  <si>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</si>
  <si>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</si>
  <si>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</si>
  <si>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</si>
  <si>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</si>
  <si>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</si>
  <si>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</si>
  <si>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</si>
  <si>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</si>
  <si>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</si>
  <si>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</si>
  <si>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</si>
  <si>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</si>
  <si>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</si>
  <si>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</si>
  <si>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</si>
  <si>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</si>
  <si>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</si>
  <si>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</si>
  <si>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</si>
  <si>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</si>
  <si>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</si>
  <si>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</si>
  <si>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</si>
  <si>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</si>
  <si>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</si>
  <si>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</si>
  <si>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</si>
  <si>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</si>
  <si>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</si>
  <si>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</si>
  <si>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</si>
  <si>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</si>
  <si>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</si>
  <si>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</si>
  <si>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</si>
  <si>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</si>
  <si>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</si>
  <si>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</si>
  <si>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</si>
  <si>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</si>
  <si>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</si>
  <si>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</si>
  <si>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</si>
  <si>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</si>
  <si>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</si>
  <si>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</si>
  <si>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</si>
  <si>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</si>
  <si>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</si>
  <si>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</si>
  <si>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</si>
  <si>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</si>
  <si>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</si>
  <si>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</si>
  <si>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</si>
  <si>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</si>
  <si>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</si>
  <si>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</si>
  <si>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</si>
  <si>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</si>
  <si>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</si>
  <si>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</si>
  <si>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</si>
  <si>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</si>
  <si>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</si>
  <si>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</si>
  <si>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</si>
  <si>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</si>
  <si>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</si>
  <si>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</si>
  <si>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</si>
  <si>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</si>
  <si>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</si>
  <si>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</si>
  <si>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</si>
  <si>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</si>
  <si>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</si>
  <si>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</si>
  <si>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</si>
  <si>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</si>
  <si>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</si>
  <si>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</si>
  <si>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</si>
  <si>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</si>
  <si>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</si>
  <si>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</si>
  <si>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</si>
  <si>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</si>
  <si>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</si>
  <si>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</si>
  <si>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</si>
  <si>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</si>
  <si>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</si>
  <si>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</si>
  <si>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</si>
  <si>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</si>
  <si>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</si>
  <si>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</si>
  <si>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</si>
  <si>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</si>
  <si>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</si>
  <si>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</si>
  <si>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</si>
  <si>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</si>
  <si>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</si>
  <si>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</si>
  <si>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</si>
  <si>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</si>
  <si>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</si>
  <si>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</si>
  <si>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</si>
  <si>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</si>
  <si>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</si>
  <si>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</si>
  <si>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</si>
  <si>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</si>
  <si>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</si>
  <si>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</si>
  <si>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</si>
  <si>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</si>
  <si>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</si>
  <si>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</si>
  <si>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</si>
  <si>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</si>
  <si>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</si>
  <si>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</si>
  <si>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</si>
  <si>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</si>
  <si>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</si>
  <si>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</si>
  <si>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</si>
  <si>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</si>
  <si>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</si>
  <si>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</si>
  <si>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</si>
  <si>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</si>
  <si>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</si>
  <si>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</si>
  <si>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</si>
  <si>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</si>
  <si>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</si>
  <si>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</si>
  <si>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</si>
  <si>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</si>
  <si>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</si>
  <si>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</si>
  <si>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</si>
  <si>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</si>
  <si>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</si>
  <si>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</si>
  <si>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</si>
  <si>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</si>
  <si>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</si>
  <si>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</si>
  <si>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</si>
  <si>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</si>
  <si>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</si>
  <si>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</si>
  <si>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</si>
  <si>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</si>
  <si>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</si>
  <si>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</si>
  <si>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</si>
  <si>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</si>
  <si>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</si>
  <si>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</si>
  <si>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</si>
  <si>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</si>
  <si>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</si>
  <si>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</si>
  <si>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</si>
  <si>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</si>
  <si>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</si>
  <si>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</si>
  <si>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</si>
  <si>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</si>
  <si>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</si>
  <si>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</si>
  <si>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</si>
  <si>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</si>
  <si>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</si>
  <si>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</si>
  <si>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</si>
  <si>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</si>
  <si>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</si>
  <si>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</si>
  <si>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</si>
  <si>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</si>
  <si>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</si>
  <si>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</si>
  <si>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</si>
  <si>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</si>
  <si>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</si>
  <si>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</si>
  <si>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</si>
  <si>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</si>
  <si>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</si>
  <si>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</si>
  <si>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</si>
  <si>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</si>
  <si>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</si>
  <si>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</si>
  <si>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</si>
  <si>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</si>
  <si>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</si>
  <si>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</si>
  <si>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</si>
  <si>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</si>
  <si>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</si>
  <si>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</si>
  <si>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</si>
  <si>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</si>
  <si>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</si>
  <si>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</si>
  <si>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</si>
  <si>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</si>
  <si>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</si>
  <si>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</si>
  <si>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</si>
  <si>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</si>
  <si>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</si>
  <si>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</si>
  <si>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</si>
  <si>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</si>
  <si>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</si>
  <si>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</si>
  <si>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</si>
  <si>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</si>
  <si>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</si>
  <si>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</si>
  <si>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</si>
  <si>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</si>
  <si>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</si>
  <si>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</si>
  <si>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</si>
  <si>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</si>
  <si>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</si>
  <si>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</si>
  <si>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</si>
  <si>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</si>
  <si>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</si>
  <si>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</si>
  <si>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</si>
  <si>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</si>
  <si>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</si>
  <si>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</si>
  <si>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</si>
  <si>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</si>
  <si>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</si>
  <si>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</si>
  <si>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</si>
  <si>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</si>
  <si>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</si>
  <si>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</si>
  <si>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</si>
  <si>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</si>
  <si>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</si>
  <si>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</si>
  <si>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</si>
  <si>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</si>
  <si>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</si>
  <si>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</si>
  <si>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</si>
  <si>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</si>
  <si>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</si>
  <si>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</si>
  <si>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</si>
  <si>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</si>
  <si>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</si>
  <si>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</si>
  <si>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</si>
  <si>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</si>
  <si>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</si>
  <si>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</si>
  <si>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</si>
  <si>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</si>
  <si>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</si>
  <si>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</si>
  <si>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</si>
  <si>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</si>
  <si>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</si>
  <si>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</si>
  <si>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</si>
  <si>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</si>
  <si>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</si>
  <si>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</si>
  <si>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</si>
  <si>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</si>
  <si>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</si>
  <si>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</si>
  <si>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</si>
  <si>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</si>
  <si>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</si>
  <si>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</si>
  <si>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</si>
  <si>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</si>
  <si>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</si>
  <si>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</si>
  <si>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</si>
  <si>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</si>
  <si>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</si>
  <si>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</si>
  <si>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</si>
  <si>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</si>
  <si>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</si>
  <si>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</si>
  <si>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</si>
  <si>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</si>
  <si>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</si>
  <si>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</si>
  <si>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</si>
  <si>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</si>
  <si>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</si>
  <si>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</si>
  <si>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</si>
  <si>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</si>
  <si>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</si>
  <si>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</si>
  <si>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</si>
  <si>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</si>
  <si>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</si>
  <si>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</si>
  <si>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</si>
  <si>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</si>
  <si>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</si>
  <si>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</si>
  <si>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</si>
  <si>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</si>
  <si>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</si>
  <si>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</si>
  <si>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</si>
  <si>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</si>
  <si>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</si>
  <si>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</si>
  <si>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</si>
  <si>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</si>
  <si>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</si>
  <si>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</si>
  <si>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</si>
  <si>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</si>
  <si>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</si>
  <si>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</si>
  <si>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</si>
  <si>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</si>
  <si>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</si>
  <si>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</si>
  <si>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</si>
  <si>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</si>
  <si>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</si>
  <si>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</si>
  <si>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</si>
  <si>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</si>
  <si>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</si>
  <si>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</si>
  <si>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</si>
  <si>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</si>
  <si>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</si>
  <si>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</si>
  <si>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</si>
  <si>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</si>
  <si>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</si>
  <si>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</si>
  <si>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</si>
  <si>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</si>
  <si>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</si>
  <si>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</si>
  <si>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</si>
  <si>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</si>
  <si>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</si>
  <si>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</si>
  <si>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</si>
  <si>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</si>
  <si>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</si>
  <si>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</si>
  <si>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</si>
  <si>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</si>
  <si>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</si>
  <si>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</si>
  <si>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</si>
  <si>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</si>
  <si>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</si>
  <si>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</si>
  <si>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</si>
  <si>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</si>
  <si>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</si>
  <si>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</si>
  <si>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</si>
  <si>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</si>
  <si>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</si>
  <si>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</si>
  <si>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</si>
  <si>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</si>
  <si>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</si>
  <si>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</si>
  <si>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</si>
  <si>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</si>
  <si>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</si>
  <si>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</si>
  <si>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</si>
  <si>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</si>
  <si>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</si>
  <si>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</si>
  <si>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</si>
  <si>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</si>
  <si>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</si>
  <si>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</si>
  <si>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</si>
  <si>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</si>
  <si>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</si>
  <si>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</si>
  <si>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</si>
  <si>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</si>
  <si>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</si>
  <si>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</si>
  <si>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</si>
  <si>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</si>
  <si>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</si>
  <si>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</si>
  <si>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</si>
  <si>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</si>
  <si>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</si>
  <si>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</si>
  <si>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</si>
  <si>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</si>
  <si>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</si>
  <si>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</si>
  <si>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</si>
  <si>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</si>
  <si>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</si>
  <si>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</si>
  <si>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</si>
  <si>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</si>
  <si>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</si>
  <si>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</si>
  <si>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</si>
  <si>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</si>
  <si>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</si>
  <si>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</si>
  <si>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</si>
  <si>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</si>
  <si>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</si>
  <si>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</si>
  <si>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</si>
  <si>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</si>
  <si>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</si>
  <si>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</si>
  <si>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</si>
  <si>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</si>
  <si>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</si>
  <si>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</si>
  <si>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</si>
  <si>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</si>
  <si>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</si>
  <si>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</si>
  <si>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</si>
  <si>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</si>
  <si>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</si>
  <si>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</si>
  <si>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</si>
  <si>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</si>
  <si>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</si>
  <si>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</si>
  <si>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</si>
  <si>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</si>
  <si>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</si>
  <si>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</si>
  <si>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</si>
  <si>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</si>
  <si>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</si>
  <si>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</si>
  <si>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</si>
  <si>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</si>
  <si>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</si>
  <si>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</si>
  <si>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</si>
  <si>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</si>
  <si>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</si>
  <si>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</si>
  <si>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</si>
  <si>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pSemi Corporation</t>
  </si>
  <si>
    <t>pSemi Corporation Products</t>
  </si>
  <si>
    <t>DUNS: 78-412-4620</t>
  </si>
  <si>
    <t>9380 Carrol Park Drive, San Diego CA 92121</t>
  </si>
  <si>
    <t>Rouzbeh Jani</t>
  </si>
  <si>
    <t>rjani@psemi.com</t>
  </si>
  <si>
    <t>858-731-9409</t>
  </si>
  <si>
    <t>Quality Engineer</t>
  </si>
  <si>
    <t>recycled</t>
  </si>
  <si>
    <t>on "CFS Compliant Smelter List"</t>
  </si>
  <si>
    <t>Simone Frigerio</t>
  </si>
  <si>
    <t>simone.frigerio@argor.com</t>
  </si>
  <si>
    <t>Undisclosed mine, Recycled or scrap.</t>
  </si>
  <si>
    <t>Mine located in Sweden. Recycled or scrap</t>
  </si>
  <si>
    <t>on "CFS Compliant Smelter List"
jointed "LBMA"</t>
  </si>
  <si>
    <t>Huckleberry</t>
  </si>
  <si>
    <t>Canada
recycled</t>
  </si>
  <si>
    <t>Mr. Jochen.Schlessmann</t>
  </si>
  <si>
    <t>jochen.schlessman@heraeus.com</t>
  </si>
  <si>
    <t xml:space="preserve"> Listed in CFSP Compliant Smelter List</t>
  </si>
  <si>
    <t>Philippine associated smelting &amp; Refining 
corporation, Recycled &amp; Scrap</t>
  </si>
  <si>
    <t>Leyte Industrial Development Estate (LIDE), Isabel, Leyte, 6539 Philippines.</t>
  </si>
  <si>
    <t>Cadia</t>
  </si>
  <si>
    <t>Australia
recycled</t>
  </si>
  <si>
    <t>JUNG. Jin.Won.</t>
  </si>
  <si>
    <t>gogilra11@lsnikko.com</t>
  </si>
  <si>
    <t>It already pass audit.</t>
  </si>
  <si>
    <t>Vale</t>
  </si>
  <si>
    <t>Brazil</t>
  </si>
  <si>
    <t>Ada Yu</t>
  </si>
  <si>
    <t>Ada.Yu@metalor.com</t>
  </si>
  <si>
    <t>Mining, recycled and scrap sources</t>
  </si>
  <si>
    <t>KL Yap</t>
  </si>
  <si>
    <t>KL.Yap@metalor.com</t>
  </si>
  <si>
    <t>Jack Xue</t>
  </si>
  <si>
    <t>Jack.xue@metalor.com</t>
  </si>
  <si>
    <t>Shanghai Exchange Market</t>
  </si>
  <si>
    <t>Shanghai</t>
  </si>
  <si>
    <t>Shanghai Exchange Market Accredited</t>
  </si>
  <si>
    <t>Yuxing Shang</t>
  </si>
  <si>
    <t>Yuxing.Shang@metalor.com</t>
  </si>
  <si>
    <t>John Lee</t>
  </si>
  <si>
    <t>John.Lee@metalor.com</t>
  </si>
  <si>
    <t>Naoshima</t>
  </si>
  <si>
    <t>Cadia Hill</t>
  </si>
  <si>
    <t>Hishikari Mine</t>
  </si>
  <si>
    <t>Japan
recycled</t>
  </si>
  <si>
    <t>Akihiko Okuda</t>
  </si>
  <si>
    <t>okuda@ml.tanaka.co.jp</t>
  </si>
  <si>
    <t>CFS Compliant Smelter</t>
  </si>
  <si>
    <t>Tanaka purchase gold metal with ONLY the good delivary brand, which London Bullion Market Association (LBMA) approved as, from our supplier.
Tanaka Kikinzoku Kogyo K.K is certified by LBMA as Responsible Gold Refiner.
Tanaka is listed in "Current Good Delivery List" on LBMA Web Site.</t>
  </si>
  <si>
    <t>Anthony Arricale</t>
  </si>
  <si>
    <t>aarricale@unitedpmr.com</t>
  </si>
  <si>
    <t>None Required - CFSI certifed conflict free</t>
  </si>
  <si>
    <t>Recycled scrap material</t>
  </si>
  <si>
    <t>www.unitedpmr.com</t>
  </si>
  <si>
    <t>Satoshi Kuromori</t>
  </si>
  <si>
    <t>suishin-ml@asaka.co.jp</t>
  </si>
  <si>
    <t>Not disclosed</t>
  </si>
  <si>
    <t>djzxy@163.com</t>
  </si>
  <si>
    <t>Inner Mongolia</t>
  </si>
  <si>
    <t>djzxy.cnmc.com.cn</t>
  </si>
  <si>
    <t>Sales - Operations</t>
  </si>
  <si>
    <t>http://mail.yhtin.cn/</t>
  </si>
  <si>
    <t>Gejiu &amp; Yunnan China</t>
  </si>
  <si>
    <t>China</t>
  </si>
  <si>
    <t>http://www.conflictfreesourcing.org/media/docs/GeijuNonFerrousMetalProcessingCoLtd_conflictmineralspolicy.pdf</t>
  </si>
  <si>
    <t>http://www.czzp.cn/detail/showent_269984.html</t>
  </si>
  <si>
    <t>Mr. Mohd. Zaidi</t>
  </si>
  <si>
    <t>mohd.zaidi@msmelt.com</t>
  </si>
  <si>
    <t>continue monitoring for CFSI compliance</t>
  </si>
  <si>
    <t>Rahman Hydraulic Tin Sdn. Bhd.</t>
  </si>
  <si>
    <t>Malaysia</t>
  </si>
  <si>
    <t>Stan Rothschild</t>
  </si>
  <si>
    <t>SROTHSCHILD@metallicresources.com</t>
  </si>
  <si>
    <t>http://metallicresources.com/</t>
  </si>
  <si>
    <t>Ms Inga Hoffkins</t>
  </si>
  <si>
    <t>Inge.Hofkens@metallo.com</t>
  </si>
  <si>
    <t xml:space="preserve">http://www.metallo.com/en/about-metallo/network-of-competencies.html </t>
  </si>
  <si>
    <t>Juan Luis Kruger Sayan</t>
  </si>
  <si>
    <t>comunicaciones@minsur.com.pe</t>
  </si>
  <si>
    <t>Tin Mine located in Puno region in the eastern cordillera of the Andes</t>
  </si>
  <si>
    <t>Peru</t>
  </si>
  <si>
    <t>Asago</t>
  </si>
  <si>
    <t>http://www.mmc.co.jp/corporate/en/</t>
  </si>
  <si>
    <t>Evangeline Punongbayan</t>
  </si>
  <si>
    <t>eb.punongbayan@omp.com.ph</t>
  </si>
  <si>
    <t>Recycled</t>
  </si>
  <si>
    <t>Santosa Prasetija</t>
  </si>
  <si>
    <t> sanpras1205@gmail.com</t>
  </si>
  <si>
    <t>Blok Mapur-Cit, Blok Bemban Utara, Blok Kepuh Utara</t>
  </si>
  <si>
    <t>Kab. Bangka, Indonesia/ Kab. Bangka Tengah, Indonesia</t>
  </si>
  <si>
    <t>Ms. Meily Tanoto</t>
  </si>
  <si>
    <t>meily.tanoto@gmail.com</t>
  </si>
  <si>
    <t>Tin Mine in Indonesia(No Name of Tin Mine)</t>
  </si>
  <si>
    <t>Indonesia</t>
  </si>
  <si>
    <t>Mr. Abdul Kamaroes</t>
  </si>
  <si>
    <t>akamaroes@pttimah.co.id</t>
  </si>
  <si>
    <t>CFS validated</t>
  </si>
  <si>
    <t>Mr. Agung Nugroho</t>
  </si>
  <si>
    <t>agung@pttimah.co.id</t>
  </si>
  <si>
    <t>Ariel Chiang</t>
  </si>
  <si>
    <t>rdh_49@rdh.com.tw</t>
  </si>
  <si>
    <t>scrap</t>
  </si>
  <si>
    <t>Mr. Panya Torchareon</t>
  </si>
  <si>
    <t>panyator@thaisarco.com</t>
  </si>
  <si>
    <t>Tin Mine located at countries stated next cell (No Name of Tin Mine)</t>
  </si>
  <si>
    <t>Australia, Brazil, Bolivia, China, Laos, Myanmar, Morocco, Peru, Portugal, Vietnam, Rwanda and DRC</t>
  </si>
  <si>
    <t>Mr. Vagner Torrente - President</t>
  </si>
  <si>
    <t>dp@torparticipacoes.com.br</t>
  </si>
  <si>
    <t>Private Mines in the Ariquemes Rondonia region of Brazil</t>
  </si>
  <si>
    <t>http://www.whitesolder.com.br/images/stories/ws_conflict_english.pdf</t>
  </si>
  <si>
    <t>Not disclosed per RJC</t>
  </si>
  <si>
    <t>Conformant Smelter</t>
  </si>
  <si>
    <t xml:space="preserve">Some are recycled or scrap sourced but not all. </t>
  </si>
  <si>
    <t>Recycled, Scrap</t>
  </si>
  <si>
    <t>Not disclosed per RJC/LBMA</t>
  </si>
  <si>
    <t>Not disclosed per LBMA</t>
  </si>
  <si>
    <t xml:space="preserve">Some are recycled, scrap or covered countries sourced but not all. </t>
  </si>
  <si>
    <t xml:space="preserve">Some are recycled, scrap, covered countries or DRC sourced but not all. </t>
  </si>
  <si>
    <t xml:space="preserve">Some are sourced from covered countries but not all. </t>
  </si>
  <si>
    <t xml:space="preserve">Some are sourced from covered countries or DRC but not all. </t>
  </si>
  <si>
    <t xml:space="preserve">Some are recycled, scrap or covered countries. </t>
  </si>
  <si>
    <t xml:space="preserve">Some are recycled, scrap or DRC sourced but not all. </t>
  </si>
  <si>
    <t xml:space="preserve">Some are sourced from cover countries and DRC but not all. </t>
  </si>
  <si>
    <t>L1</t>
  </si>
  <si>
    <t>L1, CC, R/S</t>
  </si>
  <si>
    <t>L1, CC, DRC, R/S</t>
  </si>
  <si>
    <t>DRC, CC, HR, R/S, LR</t>
  </si>
  <si>
    <t>LR, R/S</t>
  </si>
  <si>
    <t xml:space="preserve">Smelter MSC is using raw materials originated from DRC or adjoining countries under iTSCi program. MSC is already validated as CFS certified smelter. (SmelterID:CID001105) 
http://www.msmelt.com/abt_policy.htm       </t>
  </si>
  <si>
    <t>Tadakazu Kagami</t>
  </si>
  <si>
    <t>tkagami@mmc.co.jp</t>
  </si>
  <si>
    <t>-</t>
  </si>
  <si>
    <t>RMAP Conformant SOR</t>
  </si>
  <si>
    <t>Wu Yin</t>
  </si>
  <si>
    <t>wuytt@yahoo.com.cn</t>
  </si>
  <si>
    <t>RCOI　by　RMAI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</si>
</sst>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5">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0" fillId="0" borderId="19" xfId="0" applyBorder="1" applyAlignment="1" applyProtection="1">
      <alignmen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0" borderId="19" xfId="0" applyBorder="1" applyAlignment="1" applyProtection="1">
      <alignment vertical="center" wrapText="1"/>
      <protection locked="0"/>
    </xf>
    <xf numFmtId="0" fontId="0" fillId="33" borderId="42"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3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68"/>
      <c r="B2" s="35" t="s">
        <v>847</v>
      </c>
      <c r="C2" s="33"/>
      <c r="D2" s="199"/>
      <c r="E2" s="3"/>
      <c r="F2" s="33"/>
      <c r="G2" s="31"/>
    </row>
    <row r="3" spans="1:7">
      <c r="A3" s="368"/>
      <c r="B3" s="5" t="s">
        <v>839</v>
      </c>
      <c r="C3" s="6"/>
      <c r="D3" s="200"/>
      <c r="E3" s="3"/>
      <c r="F3" s="6"/>
      <c r="G3" s="31"/>
    </row>
    <row r="4" spans="1:7" ht="15.75">
      <c r="A4" s="368"/>
      <c r="B4" s="38" t="s">
        <v>849</v>
      </c>
      <c r="C4" s="7"/>
      <c r="D4" s="201"/>
      <c r="E4" s="3"/>
      <c r="F4" s="7"/>
      <c r="G4" s="31"/>
    </row>
    <row r="5" spans="1:7">
      <c r="A5" s="368"/>
      <c r="B5" s="37" t="s">
        <v>1040</v>
      </c>
      <c r="C5" s="4"/>
      <c r="D5" s="202"/>
      <c r="E5" s="3"/>
      <c r="F5" s="4"/>
      <c r="G5" s="31"/>
    </row>
    <row r="6" spans="1:7">
      <c r="A6" s="368"/>
      <c r="B6" s="8"/>
      <c r="C6" s="8"/>
      <c r="D6" s="203"/>
      <c r="E6" s="8"/>
      <c r="F6" s="8"/>
      <c r="G6" s="31"/>
    </row>
    <row r="7" spans="1:7">
      <c r="A7" s="368"/>
      <c r="B7" s="8"/>
      <c r="C7" s="8"/>
      <c r="D7" s="203"/>
      <c r="E7" s="8"/>
      <c r="F7" s="8"/>
      <c r="G7" s="31"/>
    </row>
    <row r="8" spans="1:7">
      <c r="A8" s="368"/>
      <c r="B8" s="8"/>
      <c r="C8" s="8"/>
      <c r="D8" s="203"/>
      <c r="E8" s="8"/>
      <c r="F8" s="8"/>
      <c r="G8" s="31"/>
    </row>
    <row r="9" spans="1:7">
      <c r="A9" s="368"/>
      <c r="B9" s="371" t="s">
        <v>850</v>
      </c>
      <c r="C9" s="371"/>
      <c r="D9" s="371"/>
      <c r="E9" s="371"/>
      <c r="F9" s="371"/>
      <c r="G9" s="31"/>
    </row>
    <row r="10" spans="1:7" ht="27" customHeight="1">
      <c r="A10" s="368"/>
      <c r="B10" s="372" t="s">
        <v>438</v>
      </c>
      <c r="C10" s="372"/>
      <c r="D10" s="372"/>
      <c r="E10" s="372"/>
      <c r="F10" s="372"/>
      <c r="G10" s="31"/>
    </row>
    <row r="11" spans="1:7" ht="27" customHeight="1">
      <c r="A11" s="368"/>
      <c r="B11" s="373"/>
      <c r="C11" s="373"/>
      <c r="D11" s="373"/>
      <c r="E11" s="373"/>
      <c r="F11" s="373"/>
      <c r="G11" s="31"/>
    </row>
    <row r="12" spans="1:7">
      <c r="A12" s="368"/>
      <c r="B12" s="39" t="s">
        <v>848</v>
      </c>
      <c r="C12" s="40" t="s">
        <v>851</v>
      </c>
      <c r="D12" s="204" t="s">
        <v>852</v>
      </c>
      <c r="E12" s="40" t="s">
        <v>612</v>
      </c>
      <c r="F12" s="40" t="s">
        <v>613</v>
      </c>
      <c r="G12" s="31"/>
    </row>
    <row r="13" spans="1:7" ht="33.75">
      <c r="A13" s="368"/>
      <c r="B13" s="2">
        <v>1</v>
      </c>
      <c r="C13" s="34" t="s">
        <v>1088</v>
      </c>
      <c r="D13" s="36" t="s">
        <v>876</v>
      </c>
      <c r="E13" s="187" t="s">
        <v>853</v>
      </c>
      <c r="F13" s="187"/>
      <c r="G13" s="31"/>
    </row>
    <row r="14" spans="1:7" ht="33.75">
      <c r="A14" s="368"/>
      <c r="B14" s="2">
        <v>2</v>
      </c>
      <c r="C14" s="34" t="s">
        <v>1088</v>
      </c>
      <c r="D14" s="36" t="s">
        <v>1025</v>
      </c>
      <c r="E14" s="187" t="s">
        <v>530</v>
      </c>
      <c r="F14" s="187" t="s">
        <v>531</v>
      </c>
      <c r="G14" s="31"/>
    </row>
    <row r="15" spans="1:7" ht="89.1" customHeight="1">
      <c r="A15" s="368"/>
      <c r="B15" s="374">
        <v>2.0099999999999998</v>
      </c>
      <c r="C15" s="365" t="s">
        <v>1088</v>
      </c>
      <c r="D15" s="377" t="s">
        <v>2263</v>
      </c>
      <c r="E15" s="188" t="s">
        <v>614</v>
      </c>
      <c r="F15" s="188" t="s">
        <v>617</v>
      </c>
      <c r="G15" s="31"/>
    </row>
    <row r="16" spans="1:7" ht="99" customHeight="1">
      <c r="A16" s="368"/>
      <c r="B16" s="375"/>
      <c r="C16" s="366"/>
      <c r="D16" s="378"/>
      <c r="E16" s="189"/>
      <c r="F16" s="189" t="s">
        <v>615</v>
      </c>
      <c r="G16" s="31"/>
    </row>
    <row r="17" spans="1:7" ht="63" customHeight="1">
      <c r="A17" s="368"/>
      <c r="B17" s="376"/>
      <c r="C17" s="367"/>
      <c r="D17" s="379"/>
      <c r="E17" s="34"/>
      <c r="F17" s="34" t="s">
        <v>616</v>
      </c>
      <c r="G17" s="31"/>
    </row>
    <row r="18" spans="1:7" ht="117" customHeight="1">
      <c r="A18" s="368"/>
      <c r="B18" s="374">
        <v>2.02</v>
      </c>
      <c r="C18" s="365" t="s">
        <v>1088</v>
      </c>
      <c r="D18" s="377" t="s">
        <v>2264</v>
      </c>
      <c r="E18" s="188" t="s">
        <v>439</v>
      </c>
      <c r="F18" s="188" t="s">
        <v>525</v>
      </c>
      <c r="G18" s="31"/>
    </row>
    <row r="19" spans="1:7" ht="71.099999999999994" customHeight="1">
      <c r="A19" s="368"/>
      <c r="B19" s="375"/>
      <c r="C19" s="366"/>
      <c r="D19" s="378"/>
      <c r="E19" s="189" t="s">
        <v>529</v>
      </c>
      <c r="F19" s="189" t="s">
        <v>440</v>
      </c>
      <c r="G19" s="31"/>
    </row>
    <row r="20" spans="1:7" ht="90.75" customHeight="1">
      <c r="A20" s="368"/>
      <c r="B20" s="375"/>
      <c r="C20" s="366"/>
      <c r="D20" s="378"/>
      <c r="E20" s="189"/>
      <c r="F20" s="189" t="s">
        <v>619</v>
      </c>
      <c r="G20" s="31"/>
    </row>
    <row r="21" spans="1:7" ht="74.25" customHeight="1">
      <c r="A21" s="368"/>
      <c r="B21" s="376"/>
      <c r="C21" s="367"/>
      <c r="D21" s="379"/>
      <c r="E21" s="34"/>
      <c r="F21" s="34" t="s">
        <v>618</v>
      </c>
      <c r="G21" s="31"/>
    </row>
    <row r="22" spans="1:7" ht="90" customHeight="1">
      <c r="A22" s="368"/>
      <c r="B22" s="383">
        <v>2.0299999999999998</v>
      </c>
      <c r="C22" s="383" t="s">
        <v>822</v>
      </c>
      <c r="D22" s="362" t="s">
        <v>2265</v>
      </c>
      <c r="E22" s="365" t="s">
        <v>437</v>
      </c>
      <c r="F22" s="188" t="s">
        <v>460</v>
      </c>
      <c r="G22" s="31"/>
    </row>
    <row r="23" spans="1:7" ht="109.5" customHeight="1">
      <c r="A23" s="368"/>
      <c r="B23" s="384"/>
      <c r="C23" s="384"/>
      <c r="D23" s="363"/>
      <c r="E23" s="366"/>
      <c r="F23" s="189" t="s">
        <v>823</v>
      </c>
      <c r="G23" s="31"/>
    </row>
    <row r="24" spans="1:7" ht="74.25" customHeight="1">
      <c r="A24" s="368"/>
      <c r="B24" s="385"/>
      <c r="C24" s="385"/>
      <c r="D24" s="364"/>
      <c r="E24" s="367"/>
      <c r="F24" s="34" t="s">
        <v>436</v>
      </c>
      <c r="G24" s="31"/>
    </row>
    <row r="25" spans="1:7" ht="72" customHeight="1">
      <c r="A25" s="368"/>
      <c r="B25" s="2" t="s">
        <v>458</v>
      </c>
      <c r="C25" s="34" t="s">
        <v>459</v>
      </c>
      <c r="D25" s="36" t="s">
        <v>2266</v>
      </c>
      <c r="E25" s="34" t="s">
        <v>2261</v>
      </c>
      <c r="F25" s="34" t="s">
        <v>461</v>
      </c>
      <c r="G25" s="31"/>
    </row>
    <row r="26" spans="1:7" ht="98.1" customHeight="1">
      <c r="A26" s="368"/>
      <c r="B26" s="380">
        <v>3</v>
      </c>
      <c r="C26" s="374" t="s">
        <v>70</v>
      </c>
      <c r="D26" s="377" t="s">
        <v>2267</v>
      </c>
      <c r="E26" s="365" t="s">
        <v>0</v>
      </c>
      <c r="F26" s="188" t="s">
        <v>64</v>
      </c>
      <c r="G26" s="31"/>
    </row>
    <row r="27" spans="1:7" ht="90" customHeight="1">
      <c r="A27" s="368"/>
      <c r="B27" s="381"/>
      <c r="C27" s="375"/>
      <c r="D27" s="378"/>
      <c r="E27" s="366"/>
      <c r="F27" s="189" t="s">
        <v>59</v>
      </c>
      <c r="G27" s="31"/>
    </row>
    <row r="28" spans="1:7" ht="19.350000000000001" customHeight="1">
      <c r="A28" s="368"/>
      <c r="B28" s="381"/>
      <c r="C28" s="375"/>
      <c r="D28" s="378"/>
      <c r="E28" s="366"/>
      <c r="F28" s="189" t="s">
        <v>60</v>
      </c>
      <c r="G28" s="31"/>
    </row>
    <row r="29" spans="1:7" ht="74.650000000000006" customHeight="1">
      <c r="A29" s="368"/>
      <c r="B29" s="381"/>
      <c r="C29" s="375"/>
      <c r="D29" s="378"/>
      <c r="E29" s="366"/>
      <c r="F29" s="189" t="s">
        <v>61</v>
      </c>
      <c r="G29" s="31"/>
    </row>
    <row r="30" spans="1:7" ht="62.65" customHeight="1">
      <c r="A30" s="368"/>
      <c r="B30" s="381"/>
      <c r="C30" s="375"/>
      <c r="D30" s="378"/>
      <c r="E30" s="366"/>
      <c r="F30" s="189" t="s">
        <v>62</v>
      </c>
      <c r="G30" s="31"/>
    </row>
    <row r="31" spans="1:7" ht="81" customHeight="1">
      <c r="A31" s="368"/>
      <c r="B31" s="381"/>
      <c r="C31" s="375"/>
      <c r="D31" s="378"/>
      <c r="E31" s="366"/>
      <c r="F31" s="189" t="s">
        <v>63</v>
      </c>
      <c r="G31" s="31"/>
    </row>
    <row r="32" spans="1:7" ht="48.75" customHeight="1">
      <c r="A32" s="368"/>
      <c r="B32" s="381"/>
      <c r="C32" s="375"/>
      <c r="D32" s="378"/>
      <c r="E32" s="366"/>
      <c r="F32" s="189" t="s">
        <v>66</v>
      </c>
      <c r="G32" s="31"/>
    </row>
    <row r="33" spans="1:7" ht="98.65" customHeight="1">
      <c r="A33" s="368"/>
      <c r="B33" s="381"/>
      <c r="C33" s="375"/>
      <c r="D33" s="378"/>
      <c r="E33" s="366"/>
      <c r="F33" s="189" t="s">
        <v>65</v>
      </c>
      <c r="G33" s="31"/>
    </row>
    <row r="34" spans="1:7" ht="89.1" customHeight="1">
      <c r="A34" s="368"/>
      <c r="B34" s="381"/>
      <c r="C34" s="375"/>
      <c r="D34" s="378"/>
      <c r="E34" s="366"/>
      <c r="F34" s="189" t="s">
        <v>67</v>
      </c>
      <c r="G34" s="31"/>
    </row>
    <row r="35" spans="1:7" ht="29.1" customHeight="1">
      <c r="A35" s="368"/>
      <c r="B35" s="381"/>
      <c r="C35" s="375"/>
      <c r="D35" s="378"/>
      <c r="E35" s="366"/>
      <c r="F35" s="189" t="s">
        <v>68</v>
      </c>
      <c r="G35" s="31"/>
    </row>
    <row r="36" spans="1:7" ht="126.75">
      <c r="A36" s="368"/>
      <c r="B36" s="382"/>
      <c r="C36" s="376"/>
      <c r="D36" s="379"/>
      <c r="E36" s="367"/>
      <c r="F36" s="190" t="s">
        <v>69</v>
      </c>
      <c r="G36" s="31"/>
    </row>
    <row r="37" spans="1:7" ht="112.5">
      <c r="A37" s="368"/>
      <c r="B37" s="163">
        <v>3.01</v>
      </c>
      <c r="C37" s="164" t="s">
        <v>70</v>
      </c>
      <c r="D37" s="36" t="s">
        <v>2268</v>
      </c>
      <c r="E37" s="191" t="s">
        <v>1328</v>
      </c>
      <c r="F37" s="192" t="s">
        <v>1434</v>
      </c>
      <c r="G37" s="31"/>
    </row>
    <row r="38" spans="1:7" ht="101.25">
      <c r="A38" s="368"/>
      <c r="B38" s="163">
        <v>3.02</v>
      </c>
      <c r="C38" s="164" t="s">
        <v>1361</v>
      </c>
      <c r="D38" s="36" t="s">
        <v>2269</v>
      </c>
      <c r="E38" s="191" t="s">
        <v>1376</v>
      </c>
      <c r="F38" s="192" t="s">
        <v>1435</v>
      </c>
      <c r="G38" s="31"/>
    </row>
    <row r="39" spans="1:7" ht="101.25">
      <c r="A39" s="368"/>
      <c r="B39" s="173">
        <v>4</v>
      </c>
      <c r="C39" s="172" t="s">
        <v>1531</v>
      </c>
      <c r="D39" s="36" t="s">
        <v>2270</v>
      </c>
      <c r="E39" s="34" t="s">
        <v>2213</v>
      </c>
      <c r="F39" s="34" t="s">
        <v>1532</v>
      </c>
      <c r="G39" s="31"/>
    </row>
    <row r="40" spans="1:7" ht="56.25">
      <c r="A40" s="368"/>
      <c r="B40" s="163">
        <v>4.01</v>
      </c>
      <c r="C40" s="172" t="s">
        <v>1531</v>
      </c>
      <c r="D40" s="36" t="s">
        <v>2272</v>
      </c>
      <c r="E40" s="34" t="s">
        <v>2227</v>
      </c>
      <c r="F40" s="34" t="s">
        <v>2231</v>
      </c>
      <c r="G40" s="31"/>
    </row>
    <row r="41" spans="1:7" ht="56.25">
      <c r="A41" s="368"/>
      <c r="B41" s="163" t="s">
        <v>2259</v>
      </c>
      <c r="C41" s="172" t="s">
        <v>1531</v>
      </c>
      <c r="D41" s="36" t="s">
        <v>2271</v>
      </c>
      <c r="E41" s="34" t="s">
        <v>2262</v>
      </c>
      <c r="F41" s="34" t="s">
        <v>2260</v>
      </c>
      <c r="G41" s="31"/>
    </row>
    <row r="42" spans="1:7" ht="56.25">
      <c r="A42" s="368"/>
      <c r="B42" s="163" t="s">
        <v>2295</v>
      </c>
      <c r="C42" s="172" t="s">
        <v>1531</v>
      </c>
      <c r="D42" s="36" t="s">
        <v>2302</v>
      </c>
      <c r="E42" s="34" t="s">
        <v>2261</v>
      </c>
      <c r="F42" s="34" t="s">
        <v>2296</v>
      </c>
      <c r="G42" s="31"/>
    </row>
    <row r="43" spans="1:7" ht="123.75">
      <c r="A43" s="368"/>
      <c r="B43" s="184">
        <v>4.0999999999999996</v>
      </c>
      <c r="C43" s="172" t="s">
        <v>2301</v>
      </c>
      <c r="D43" s="185">
        <v>42867</v>
      </c>
      <c r="E43" s="193" t="s">
        <v>2304</v>
      </c>
      <c r="F43" s="34" t="s">
        <v>2303</v>
      </c>
      <c r="G43" s="31"/>
    </row>
    <row r="44" spans="1:7" ht="78.75">
      <c r="A44" s="368"/>
      <c r="B44" s="184">
        <v>4.2</v>
      </c>
      <c r="C44" s="172" t="s">
        <v>2301</v>
      </c>
      <c r="D44" s="185">
        <v>42704</v>
      </c>
      <c r="E44" s="193" t="s">
        <v>2503</v>
      </c>
      <c r="F44" s="34" t="s">
        <v>2478</v>
      </c>
      <c r="G44" s="31"/>
    </row>
    <row r="45" spans="1:7" ht="157.5">
      <c r="A45" s="368"/>
      <c r="B45" s="233">
        <v>5</v>
      </c>
      <c r="C45" s="172" t="s">
        <v>2301</v>
      </c>
      <c r="D45" s="185">
        <v>42867</v>
      </c>
      <c r="E45" s="193" t="s">
        <v>12784</v>
      </c>
      <c r="F45" s="34" t="s">
        <v>12506</v>
      </c>
      <c r="G45" s="31"/>
    </row>
    <row r="46" spans="1:7" ht="45">
      <c r="A46" s="368"/>
      <c r="B46" s="184">
        <v>5.01</v>
      </c>
      <c r="C46" s="172" t="s">
        <v>2301</v>
      </c>
      <c r="D46" s="185">
        <v>42907</v>
      </c>
      <c r="E46" s="193" t="s">
        <v>15650</v>
      </c>
      <c r="F46" s="34" t="s">
        <v>12506</v>
      </c>
      <c r="G46" s="31"/>
    </row>
    <row r="47" spans="1:7" ht="67.5">
      <c r="A47" s="368"/>
      <c r="B47" s="184">
        <v>5.0999999999999996</v>
      </c>
      <c r="C47" s="172" t="s">
        <v>2301</v>
      </c>
      <c r="D47" s="185">
        <v>43070</v>
      </c>
      <c r="E47" s="193" t="s">
        <v>12994</v>
      </c>
      <c r="F47" s="34" t="s">
        <v>12995</v>
      </c>
      <c r="G47" s="31"/>
    </row>
    <row r="48" spans="1:7" ht="56.25">
      <c r="A48" s="368"/>
      <c r="B48" s="184">
        <v>5.1100000000000003</v>
      </c>
      <c r="C48" s="172" t="s">
        <v>13232</v>
      </c>
      <c r="D48" s="185">
        <v>43217</v>
      </c>
      <c r="E48" s="193" t="s">
        <v>13358</v>
      </c>
      <c r="F48" s="34" t="s">
        <v>13266</v>
      </c>
      <c r="G48" s="31"/>
    </row>
    <row r="49" spans="1:7" ht="56.25">
      <c r="A49" s="368"/>
      <c r="B49" s="184">
        <v>5.12</v>
      </c>
      <c r="C49" s="172" t="s">
        <v>13232</v>
      </c>
      <c r="D49" s="185">
        <v>43581</v>
      </c>
      <c r="E49" s="193" t="s">
        <v>13358</v>
      </c>
      <c r="F49" s="34" t="s">
        <v>13920</v>
      </c>
      <c r="G49" s="31"/>
    </row>
    <row r="50" spans="1:7" ht="78.75">
      <c r="A50" s="368"/>
      <c r="B50" s="233">
        <v>6</v>
      </c>
      <c r="C50" s="172" t="s">
        <v>13232</v>
      </c>
      <c r="D50" s="185">
        <v>43964</v>
      </c>
      <c r="E50" s="193" t="s">
        <v>14138</v>
      </c>
      <c r="F50" s="34" t="s">
        <v>13925</v>
      </c>
      <c r="G50" s="31"/>
    </row>
    <row r="51" spans="1:7" ht="45">
      <c r="A51" s="368"/>
      <c r="B51" s="184">
        <v>6.01</v>
      </c>
      <c r="C51" s="172" t="s">
        <v>13232</v>
      </c>
      <c r="D51" s="185">
        <v>43970</v>
      </c>
      <c r="E51" s="193" t="s">
        <v>15651</v>
      </c>
      <c r="F51" s="193" t="s">
        <v>13925</v>
      </c>
      <c r="G51" s="31"/>
    </row>
    <row r="52" spans="1:7" ht="45">
      <c r="A52" s="368"/>
      <c r="B52" s="184">
        <v>6.1</v>
      </c>
      <c r="C52" s="172" t="s">
        <v>13232</v>
      </c>
      <c r="D52" s="185">
        <v>44314</v>
      </c>
      <c r="E52" s="193" t="s">
        <v>15631</v>
      </c>
      <c r="F52" s="193" t="s">
        <v>15144</v>
      </c>
      <c r="G52" s="31"/>
    </row>
    <row r="53" spans="1:7" ht="45">
      <c r="A53" s="368"/>
      <c r="B53" s="184">
        <v>6.2</v>
      </c>
      <c r="C53" s="172" t="s">
        <v>13232</v>
      </c>
      <c r="D53" s="185">
        <v>44678</v>
      </c>
      <c r="E53" s="193" t="s">
        <v>15631</v>
      </c>
      <c r="F53" s="193" t="s">
        <v>15624</v>
      </c>
      <c r="G53" s="31"/>
    </row>
    <row r="54" spans="1:7" ht="45">
      <c r="A54" s="368"/>
      <c r="B54" s="184">
        <v>6.21</v>
      </c>
      <c r="C54" s="172" t="s">
        <v>13232</v>
      </c>
      <c r="D54" s="185">
        <v>44687</v>
      </c>
      <c r="E54" s="193" t="s">
        <v>15652</v>
      </c>
      <c r="F54" s="193" t="s">
        <v>15624</v>
      </c>
      <c r="G54" s="31"/>
    </row>
    <row r="55" spans="1:7" ht="45">
      <c r="A55" s="368"/>
      <c r="B55" s="184">
        <v>6.22</v>
      </c>
      <c r="C55" s="172" t="s">
        <v>13232</v>
      </c>
      <c r="D55" s="348">
        <v>44692</v>
      </c>
      <c r="E55" s="193" t="s">
        <v>15651</v>
      </c>
      <c r="F55" s="193" t="s">
        <v>15624</v>
      </c>
      <c r="G55" s="31"/>
    </row>
    <row r="56" spans="1:7" ht="13.5" thickBot="1">
      <c r="A56" s="369"/>
      <c r="B56" s="370" t="str">
        <f ca="1">OFFSET(L!$C$1,MATCH("General"&amp;"Cpy",L!$A:$A,0)-1,SL,,)</f>
        <v>© 2022 Responsible Minerals Initiative. All rights reserved.</v>
      </c>
      <c r="C56" s="370"/>
      <c r="D56" s="370"/>
      <c r="E56" s="370"/>
      <c r="F56" s="370"/>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6"/>
      <c r="B1" s="387"/>
      <c r="C1" s="387"/>
      <c r="D1" s="388"/>
    </row>
    <row r="2" spans="1:5" ht="71.25" customHeight="1">
      <c r="A2" s="84"/>
      <c r="B2" s="159" t="str">
        <f ca="1">OFFSET(L!$C$1,MATCH("Definitions"&amp;ADDRESS(ROW(),COLUMN(),4),L!$A:$A,0)-1,SL,,)</f>
        <v>ITEM</v>
      </c>
      <c r="C2" s="159" t="str">
        <f ca="1">OFFSET(L!$C$1,MATCH("Definitions"&amp;ADDRESS(ROW(),COLUMN(),4),L!$A:$A,0)-1,SL,,)</f>
        <v>DEFINITION</v>
      </c>
      <c r="D2" s="390"/>
      <c r="E2" s="121"/>
    </row>
    <row r="3" spans="1:5" ht="64.150000000000006" customHeight="1">
      <c r="A3" s="84"/>
      <c r="B3" s="71" t="str">
        <f ca="1">OFFSET(L!$C$1,MATCH("Definitions"&amp;ADDRESS(ROW(),COLUMN(),4),L!$A:$A,0)-1,SL,,)</f>
        <v>3TG</v>
      </c>
      <c r="C3" s="71" t="str">
        <f ca="1">OFFSET(L!$C$1,MATCH("Definitions"&amp;ADDRESS(ROW(),COLUMN(),4),L!$A:$A,0)-1,SL,,)</f>
        <v>Tantalum, tin, tungsten, gold</v>
      </c>
      <c r="D3" s="390"/>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0"/>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0"/>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0"/>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0"/>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0"/>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90"/>
      <c r="E9" s="122" t="s">
        <v>1313</v>
      </c>
    </row>
    <row r="10" spans="1:5" ht="45">
      <c r="A10" s="84"/>
      <c r="B10" s="71" t="str">
        <f ca="1">OFFSET(L!$C$1,MATCH("Definitions"&amp;ADDRESS(ROW(),COLUMN(),4),L!$A:$A,0)-1,SL,,)</f>
        <v>DRC</v>
      </c>
      <c r="C10" s="71" t="str">
        <f ca="1">OFFSET(L!$C$1,MATCH("Definitions"&amp;ADDRESS(ROW(),COLUMN(),4),L!$A:$A,0)-1,SL,,)</f>
        <v>Democratic Republic of Congo</v>
      </c>
      <c r="D10" s="390"/>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0"/>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0"/>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0"/>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0"/>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0"/>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0"/>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0"/>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0"/>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90"/>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90"/>
      <c r="E20" s="122"/>
    </row>
    <row r="21" spans="1:5" ht="15">
      <c r="A21" s="84"/>
      <c r="B21" s="71" t="str">
        <f ca="1">OFFSET(L!$C$1,MATCH("Definitions"&amp;ADDRESS(ROW(),COLUMN(),4),L!$A:$A,0)-1,SL,,)</f>
        <v>RBA</v>
      </c>
      <c r="C21" s="71" t="str">
        <f ca="1">OFFSET(L!$C$1,MATCH("Definitions"&amp;ADDRESS(ROW(),COLUMN(),4),L!$A:$A,0)-1,SL,,)</f>
        <v>Responsible Business Alliance (www.responsiblebusiness.org)</v>
      </c>
      <c r="D21" s="390"/>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0"/>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0"/>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0"/>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0"/>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90"/>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0"/>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0"/>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0"/>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0"/>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0"/>
      <c r="E31" s="122"/>
    </row>
    <row r="32" spans="1:5" ht="15">
      <c r="A32" s="84"/>
      <c r="B32" s="389" t="str">
        <f ca="1">OFFSET(L!$C$1,MATCH("General"&amp;"Cpy",L!$A:$A,0)-1,SL,,)</f>
        <v>© 2022 Responsible Minerals Initiative. All rights reserved.</v>
      </c>
      <c r="C32" s="389"/>
      <c r="D32" s="390"/>
      <c r="E32" s="122"/>
    </row>
    <row r="33" spans="1:4" ht="13.5" thickBot="1">
      <c r="A33" s="85"/>
      <c r="B33" s="176"/>
      <c r="C33" s="176"/>
      <c r="D33" s="391"/>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G87" sqref="G87:J8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23"/>
      <c r="B1" s="424"/>
      <c r="C1" s="424"/>
      <c r="D1" s="424"/>
      <c r="E1" s="424"/>
      <c r="F1" s="424"/>
      <c r="G1" s="424"/>
      <c r="H1" s="424"/>
      <c r="I1" s="424"/>
      <c r="J1" s="424"/>
      <c r="K1" s="425"/>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6" t="str">
        <f ca="1">OFFSET(L!$C$1,MATCH("Declaration"&amp;ADDRESS(ROW(),COLUMN(),4),L!$A:$A,0)-1,SL,,)</f>
        <v>Conflict Minerals Reporting Template (CMRT)</v>
      </c>
      <c r="E2" s="427"/>
      <c r="F2" s="427"/>
      <c r="G2" s="427"/>
      <c r="H2" s="427"/>
      <c r="I2" s="427"/>
      <c r="J2" s="428"/>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6"/>
      <c r="G3" s="436"/>
      <c r="H3" s="436"/>
      <c r="I3" s="175"/>
      <c r="J3" s="160" t="s">
        <v>15654</v>
      </c>
      <c r="K3" s="44"/>
      <c r="L3" s="133"/>
      <c r="M3" s="124"/>
      <c r="N3" s="124"/>
      <c r="O3" s="125"/>
      <c r="P3" s="138">
        <f>MATCH($D$3,LN,0)</f>
        <v>1</v>
      </c>
    </row>
    <row r="4" spans="1:34" ht="15.75">
      <c r="A4" s="42"/>
      <c r="B4" s="432" t="str">
        <f ca="1">OFFSET(L!$C$1,MATCH("Declaration"&amp;ADDRESS(ROW(),COLUMN(),4),L!$A:$A,0)-1,SL,,)</f>
        <v>The purpose of this document is to collect sourcing information on tin, tantalum, tungsten and gold used in products</v>
      </c>
      <c r="C4" s="432"/>
      <c r="D4" s="432"/>
      <c r="E4" s="432"/>
      <c r="F4" s="432"/>
      <c r="G4" s="432"/>
      <c r="H4" s="432"/>
      <c r="I4" s="437" t="str">
        <f ca="1">OFFSET(L!$C$1,MATCH("Declaration"&amp;ADDRESS(ROW(),COLUMN(),4),L!$A:$A,0)-1,SL,,)</f>
        <v>Link to Terms &amp; Conditions</v>
      </c>
      <c r="J4" s="437"/>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32" t="str">
        <f ca="1">OFFSET(L!$C$1,MATCH("Declaration"&amp;ADDRESS(ROW(),COLUMN(),4),L!$A:$A,0)-1,SL,,)</f>
        <v>Mandatory fields are noted with an asterisk (*).  Consult the instructions tab for guidance on how to answer each question.</v>
      </c>
      <c r="C6" s="432"/>
      <c r="D6" s="432"/>
      <c r="E6" s="432"/>
      <c r="F6" s="432"/>
      <c r="G6" s="432"/>
      <c r="H6" s="432"/>
      <c r="I6" s="432"/>
      <c r="J6" s="432"/>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41" t="str">
        <f ca="1">OFFSET(L!$C$1,MATCH("Declaration"&amp;ADDRESS(ROW(),COLUMN(),4),L!$A:$A,0)-1,SL,,)</f>
        <v>Company Information</v>
      </c>
      <c r="C7" s="441"/>
      <c r="D7" s="441"/>
      <c r="E7" s="441"/>
      <c r="F7" s="441"/>
      <c r="G7" s="441"/>
      <c r="H7" s="441"/>
      <c r="I7" s="441"/>
      <c r="J7" s="441"/>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ustomHeight="1">
      <c r="A8" s="46"/>
      <c r="B8" s="83" t="str">
        <f ca="1">OFFSET(L!$C$1,MATCH("Declaration"&amp;ADDRESS(ROW(),COLUMN(),4),L!$A:$A,0)-1,SL,,)</f>
        <v>Company Name (*):</v>
      </c>
      <c r="C8" s="86"/>
      <c r="D8" s="429" t="s">
        <v>15655</v>
      </c>
      <c r="E8" s="430"/>
      <c r="F8" s="430"/>
      <c r="G8" s="430"/>
      <c r="H8" s="430"/>
      <c r="I8" s="430"/>
      <c r="J8" s="431"/>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38" t="s">
        <v>494</v>
      </c>
      <c r="E9" s="439"/>
      <c r="F9" s="439"/>
      <c r="G9" s="440"/>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42" t="str">
        <f ca="1">OFFSET(L!$C$1,MATCH("Declaration"&amp;ADDRESS(ROW(),COLUMN(),4)&amp;LEFT($D$9,1),L!$A:$A,0)-1,SL,,)</f>
        <v>Description of Scope:</v>
      </c>
      <c r="C10" s="144"/>
      <c r="D10" s="433" t="s">
        <v>15656</v>
      </c>
      <c r="E10" s="434"/>
      <c r="F10" s="434"/>
      <c r="G10" s="434"/>
      <c r="H10" s="434"/>
      <c r="I10" s="434"/>
      <c r="J10" s="435"/>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43"/>
      <c r="C11" s="144"/>
      <c r="D11" s="413" t="str">
        <f ca="1">IF(D9=Q9,OFFSET(L!$C$1,MATCH("Declaration"&amp;ADDRESS(ROW(),COLUMN(),4),L!$A:$A,0)-1,SL,,),"")</f>
        <v/>
      </c>
      <c r="E11" s="414"/>
      <c r="F11" s="414"/>
      <c r="G11" s="414"/>
      <c r="H11" s="414"/>
      <c r="I11" s="414"/>
      <c r="J11" s="415"/>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392" t="s">
        <v>15657</v>
      </c>
      <c r="E12" s="393"/>
      <c r="F12" s="393"/>
      <c r="G12" s="393"/>
      <c r="H12" s="393"/>
      <c r="I12" s="393"/>
      <c r="J12" s="394"/>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392"/>
      <c r="E13" s="393"/>
      <c r="F13" s="393"/>
      <c r="G13" s="393"/>
      <c r="H13" s="393"/>
      <c r="I13" s="393"/>
      <c r="J13" s="394"/>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392" t="s">
        <v>15658</v>
      </c>
      <c r="E14" s="393"/>
      <c r="F14" s="393"/>
      <c r="G14" s="393"/>
      <c r="H14" s="393"/>
      <c r="I14" s="393"/>
      <c r="J14" s="394"/>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392" t="s">
        <v>15659</v>
      </c>
      <c r="E15" s="393"/>
      <c r="F15" s="393"/>
      <c r="G15" s="393"/>
      <c r="H15" s="393"/>
      <c r="I15" s="393"/>
      <c r="J15" s="394"/>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44" t="s">
        <v>15660</v>
      </c>
      <c r="E16" s="445"/>
      <c r="F16" s="445"/>
      <c r="G16" s="445"/>
      <c r="H16" s="445"/>
      <c r="I16" s="445"/>
      <c r="J16" s="446"/>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392" t="s">
        <v>15661</v>
      </c>
      <c r="E17" s="393"/>
      <c r="F17" s="393"/>
      <c r="G17" s="393"/>
      <c r="H17" s="393"/>
      <c r="I17" s="393"/>
      <c r="J17" s="394"/>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392" t="s">
        <v>15659</v>
      </c>
      <c r="E18" s="393"/>
      <c r="F18" s="393"/>
      <c r="G18" s="393"/>
      <c r="H18" s="393"/>
      <c r="I18" s="393"/>
      <c r="J18" s="394"/>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392" t="s">
        <v>15662</v>
      </c>
      <c r="E19" s="393"/>
      <c r="F19" s="393"/>
      <c r="G19" s="393"/>
      <c r="H19" s="393"/>
      <c r="I19" s="393"/>
      <c r="J19" s="394"/>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44" t="s">
        <v>15660</v>
      </c>
      <c r="E20" s="445"/>
      <c r="F20" s="445"/>
      <c r="G20" s="445"/>
      <c r="H20" s="445"/>
      <c r="I20" s="445"/>
      <c r="J20" s="446"/>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47" t="s">
        <v>15661</v>
      </c>
      <c r="E21" s="448"/>
      <c r="F21" s="448"/>
      <c r="G21" s="448"/>
      <c r="H21" s="448"/>
      <c r="I21" s="448"/>
      <c r="J21" s="449"/>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50">
        <v>44735</v>
      </c>
      <c r="E22" s="451"/>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9"/>
      <c r="E23" s="419"/>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52" t="str">
        <f ca="1">OFFSET(L!$C$1,MATCH("Declaration"&amp;ADDRESS(ROW(),COLUMN(),4),L!$A:$A,0)-1,SL,,)</f>
        <v>Answer the following questions 1 - 8 based on the declaration scope indicated above</v>
      </c>
      <c r="C24" s="452"/>
      <c r="D24" s="452"/>
      <c r="E24" s="452"/>
      <c r="F24" s="452"/>
      <c r="G24" s="452"/>
      <c r="H24" s="452"/>
      <c r="I24" s="452"/>
      <c r="J24" s="452"/>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2" t="str">
        <f ca="1">OFFSET(L!$C$1,MATCH("Declaration"&amp;ADDRESS(ROW(),COLUMN(),4),L!$A:$A,0)-1,SL,,)</f>
        <v>Answer</v>
      </c>
      <c r="E25" s="402"/>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Tantalum  (*)</v>
      </c>
      <c r="C26" s="43"/>
      <c r="D26" s="405" t="s">
        <v>488</v>
      </c>
      <c r="E26" s="406"/>
      <c r="F26" s="15"/>
      <c r="G26" s="397"/>
      <c r="H26" s="398"/>
      <c r="I26" s="398"/>
      <c r="J26" s="399"/>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405" t="s">
        <v>488</v>
      </c>
      <c r="E27" s="406"/>
      <c r="F27" s="15"/>
      <c r="G27" s="397"/>
      <c r="H27" s="398"/>
      <c r="I27" s="398"/>
      <c r="J27" s="399"/>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405" t="s">
        <v>488</v>
      </c>
      <c r="E28" s="406"/>
      <c r="F28" s="15"/>
      <c r="G28" s="397"/>
      <c r="H28" s="398"/>
      <c r="I28" s="398"/>
      <c r="J28" s="399"/>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Tungsten  (*)</v>
      </c>
      <c r="C29" s="43"/>
      <c r="D29" s="405" t="s">
        <v>488</v>
      </c>
      <c r="E29" s="406"/>
      <c r="F29" s="15"/>
      <c r="G29" s="397"/>
      <c r="H29" s="398"/>
      <c r="I29" s="398"/>
      <c r="J29" s="399"/>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404" t="str">
        <f ca="1">D25</f>
        <v>Answer</v>
      </c>
      <c r="E31" s="404"/>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Tantalum  (*)</v>
      </c>
      <c r="C32" s="13"/>
      <c r="D32" s="405" t="s">
        <v>488</v>
      </c>
      <c r="E32" s="406"/>
      <c r="F32" s="55"/>
      <c r="G32" s="397"/>
      <c r="H32" s="398"/>
      <c r="I32" s="398"/>
      <c r="J32" s="399"/>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405" t="s">
        <v>488</v>
      </c>
      <c r="E33" s="406"/>
      <c r="F33" s="55"/>
      <c r="G33" s="397"/>
      <c r="H33" s="398"/>
      <c r="I33" s="398"/>
      <c r="J33" s="399"/>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405" t="s">
        <v>488</v>
      </c>
      <c r="E34" s="406"/>
      <c r="F34" s="55"/>
      <c r="G34" s="397"/>
      <c r="H34" s="398"/>
      <c r="I34" s="398"/>
      <c r="J34" s="399"/>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Tungsten  (*)</v>
      </c>
      <c r="C35" s="13"/>
      <c r="D35" s="405" t="s">
        <v>488</v>
      </c>
      <c r="E35" s="406"/>
      <c r="F35" s="55"/>
      <c r="G35" s="397"/>
      <c r="H35" s="398"/>
      <c r="I35" s="398"/>
      <c r="J35" s="399"/>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404" t="str">
        <f ca="1">D25</f>
        <v>Answer</v>
      </c>
      <c r="E37" s="404"/>
      <c r="F37" s="21"/>
      <c r="G37" s="52" t="str">
        <f ca="1">G25</f>
        <v>Comments</v>
      </c>
      <c r="H37" s="418"/>
      <c r="I37" s="418"/>
      <c r="J37" s="418"/>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Tantalum  (*)</v>
      </c>
      <c r="C38" s="13"/>
      <c r="D38" s="405" t="s">
        <v>488</v>
      </c>
      <c r="E38" s="406"/>
      <c r="F38" s="55"/>
      <c r="G38" s="397"/>
      <c r="H38" s="398"/>
      <c r="I38" s="398"/>
      <c r="J38" s="399"/>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405" t="s">
        <v>488</v>
      </c>
      <c r="E39" s="406"/>
      <c r="F39" s="55"/>
      <c r="G39" s="397"/>
      <c r="H39" s="398"/>
      <c r="I39" s="398"/>
      <c r="J39" s="399"/>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405" t="s">
        <v>488</v>
      </c>
      <c r="E40" s="406"/>
      <c r="F40" s="55"/>
      <c r="G40" s="397"/>
      <c r="H40" s="398"/>
      <c r="I40" s="398"/>
      <c r="J40" s="399"/>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Tungsten  (*)</v>
      </c>
      <c r="C41" s="13"/>
      <c r="D41" s="405" t="s">
        <v>488</v>
      </c>
      <c r="E41" s="406"/>
      <c r="F41" s="55"/>
      <c r="G41" s="397"/>
      <c r="H41" s="398"/>
      <c r="I41" s="398"/>
      <c r="J41" s="399"/>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404" t="str">
        <f ca="1">D25</f>
        <v>Answer</v>
      </c>
      <c r="E43" s="404"/>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Tantalum  (*)</v>
      </c>
      <c r="C44" s="13"/>
      <c r="D44" s="405" t="s">
        <v>488</v>
      </c>
      <c r="E44" s="406"/>
      <c r="F44" s="55"/>
      <c r="G44" s="397"/>
      <c r="H44" s="398"/>
      <c r="I44" s="398"/>
      <c r="J44" s="399"/>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405" t="s">
        <v>488</v>
      </c>
      <c r="E45" s="406"/>
      <c r="F45" s="55"/>
      <c r="G45" s="397"/>
      <c r="H45" s="398"/>
      <c r="I45" s="398"/>
      <c r="J45" s="399"/>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405" t="s">
        <v>488</v>
      </c>
      <c r="E46" s="406"/>
      <c r="F46" s="55"/>
      <c r="G46" s="397"/>
      <c r="H46" s="398"/>
      <c r="I46" s="398"/>
      <c r="J46" s="399"/>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Tungsten  (*)</v>
      </c>
      <c r="C47" s="13"/>
      <c r="D47" s="405" t="s">
        <v>488</v>
      </c>
      <c r="E47" s="406"/>
      <c r="F47" s="55"/>
      <c r="G47" s="397"/>
      <c r="H47" s="398"/>
      <c r="I47" s="398"/>
      <c r="J47" s="399"/>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404" t="str">
        <f ca="1">D25</f>
        <v>Answer</v>
      </c>
      <c r="E49" s="404"/>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Tantalum  (*)</v>
      </c>
      <c r="C50" s="13"/>
      <c r="D50" s="395" t="s">
        <v>489</v>
      </c>
      <c r="E50" s="396"/>
      <c r="F50" s="55"/>
      <c r="G50" s="397"/>
      <c r="H50" s="398"/>
      <c r="I50" s="398"/>
      <c r="J50" s="399"/>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95" t="s">
        <v>489</v>
      </c>
      <c r="E51" s="396"/>
      <c r="F51" s="55"/>
      <c r="G51" s="397"/>
      <c r="H51" s="398"/>
      <c r="I51" s="398"/>
      <c r="J51" s="399"/>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95" t="s">
        <v>489</v>
      </c>
      <c r="E52" s="396"/>
      <c r="F52" s="55"/>
      <c r="G52" s="397"/>
      <c r="H52" s="398"/>
      <c r="I52" s="398"/>
      <c r="J52" s="399"/>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Tungsten  (*)</v>
      </c>
      <c r="C53" s="13"/>
      <c r="D53" s="395" t="s">
        <v>489</v>
      </c>
      <c r="E53" s="396"/>
      <c r="F53" s="55"/>
      <c r="G53" s="397"/>
      <c r="H53" s="398"/>
      <c r="I53" s="398"/>
      <c r="J53" s="399"/>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404" t="str">
        <f ca="1">D25</f>
        <v>Answer</v>
      </c>
      <c r="E55" s="404"/>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Tantalum  (*)</v>
      </c>
      <c r="C56" s="43"/>
      <c r="D56" s="416">
        <v>1</v>
      </c>
      <c r="E56" s="417"/>
      <c r="F56" s="55"/>
      <c r="G56" s="397"/>
      <c r="H56" s="398"/>
      <c r="I56" s="398"/>
      <c r="J56" s="399"/>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16">
        <v>1</v>
      </c>
      <c r="E57" s="417"/>
      <c r="F57" s="55"/>
      <c r="G57" s="397"/>
      <c r="H57" s="398"/>
      <c r="I57" s="398"/>
      <c r="J57" s="399"/>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16">
        <v>1</v>
      </c>
      <c r="E58" s="417"/>
      <c r="F58" s="55"/>
      <c r="G58" s="397"/>
      <c r="H58" s="398"/>
      <c r="I58" s="398"/>
      <c r="J58" s="399"/>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Tungsten  (*)</v>
      </c>
      <c r="C59" s="43"/>
      <c r="D59" s="416">
        <v>1</v>
      </c>
      <c r="E59" s="417"/>
      <c r="F59" s="55"/>
      <c r="G59" s="397"/>
      <c r="H59" s="398"/>
      <c r="I59" s="398"/>
      <c r="J59" s="399"/>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404" t="str">
        <f ca="1">D25</f>
        <v>Answer</v>
      </c>
      <c r="E61" s="404"/>
      <c r="F61" s="21"/>
      <c r="G61" s="52" t="str">
        <f ca="1">G25</f>
        <v>Comments</v>
      </c>
      <c r="H61" s="401"/>
      <c r="I61" s="401"/>
      <c r="J61" s="401"/>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Tantalum  (*)</v>
      </c>
      <c r="C62" s="13"/>
      <c r="D62" s="405" t="s">
        <v>488</v>
      </c>
      <c r="E62" s="406"/>
      <c r="F62" s="55"/>
      <c r="G62" s="397"/>
      <c r="H62" s="398"/>
      <c r="I62" s="398"/>
      <c r="J62" s="399"/>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95" t="s">
        <v>488</v>
      </c>
      <c r="E63" s="396"/>
      <c r="F63" s="55"/>
      <c r="G63" s="397"/>
      <c r="H63" s="398"/>
      <c r="I63" s="398"/>
      <c r="J63" s="399"/>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95" t="s">
        <v>488</v>
      </c>
      <c r="E64" s="396"/>
      <c r="F64" s="55"/>
      <c r="G64" s="397"/>
      <c r="H64" s="398"/>
      <c r="I64" s="398"/>
      <c r="J64" s="399"/>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Tungsten  (*)</v>
      </c>
      <c r="C65" s="13"/>
      <c r="D65" s="395" t="s">
        <v>488</v>
      </c>
      <c r="E65" s="396"/>
      <c r="F65" s="55"/>
      <c r="G65" s="397"/>
      <c r="H65" s="398"/>
      <c r="I65" s="398"/>
      <c r="J65" s="399"/>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404" t="str">
        <f ca="1">D25</f>
        <v>Answer</v>
      </c>
      <c r="E67" s="404"/>
      <c r="F67" s="21"/>
      <c r="G67" s="52" t="str">
        <f ca="1">G25</f>
        <v>Comments</v>
      </c>
      <c r="H67" s="401" t="str">
        <f>IF(Q75="(*)","Click here to enter smelter names","")</f>
        <v/>
      </c>
      <c r="I67" s="401"/>
      <c r="J67" s="401"/>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Tantalum  (*)</v>
      </c>
      <c r="C68" s="43"/>
      <c r="D68" s="395" t="s">
        <v>488</v>
      </c>
      <c r="E68" s="396"/>
      <c r="F68" s="56"/>
      <c r="G68" s="397"/>
      <c r="H68" s="398"/>
      <c r="I68" s="398"/>
      <c r="J68" s="399"/>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95" t="s">
        <v>488</v>
      </c>
      <c r="E69" s="396"/>
      <c r="F69" s="56"/>
      <c r="G69" s="397"/>
      <c r="H69" s="398"/>
      <c r="I69" s="398"/>
      <c r="J69" s="399"/>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95" t="s">
        <v>488</v>
      </c>
      <c r="E70" s="396"/>
      <c r="F70" s="56"/>
      <c r="G70" s="397"/>
      <c r="H70" s="398"/>
      <c r="I70" s="398"/>
      <c r="J70" s="399"/>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Tungsten  (*)</v>
      </c>
      <c r="C71" s="57"/>
      <c r="D71" s="395" t="s">
        <v>488</v>
      </c>
      <c r="E71" s="396"/>
      <c r="F71" s="58"/>
      <c r="G71" s="397"/>
      <c r="H71" s="398"/>
      <c r="I71" s="398"/>
      <c r="J71" s="399"/>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00" t="str">
        <f ca="1">OFFSET(L!$C$1,MATCH("Declaration"&amp;ADDRESS(ROW(),COLUMN(),4),L!$A:$A,0)-1,SL,,)</f>
        <v>Answer the Following Questions at a Company Level</v>
      </c>
      <c r="C73" s="400"/>
      <c r="D73" s="400"/>
      <c r="E73" s="400"/>
      <c r="F73" s="400"/>
      <c r="G73" s="400"/>
      <c r="H73" s="400"/>
      <c r="I73" s="400"/>
      <c r="J73" s="400"/>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402" t="str">
        <f ca="1">D25</f>
        <v>Answer</v>
      </c>
      <c r="E74" s="402"/>
      <c r="F74" s="61"/>
      <c r="G74" s="402" t="str">
        <f ca="1">G25</f>
        <v>Comments</v>
      </c>
      <c r="H74" s="402" t="e">
        <f>HLOOKUP(SL,LT,$O74,0)</f>
        <v>#NAME?</v>
      </c>
      <c r="I74" s="402"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95" t="s">
        <v>488</v>
      </c>
      <c r="E75" s="396"/>
      <c r="F75" s="65"/>
      <c r="G75" s="397"/>
      <c r="H75" s="398"/>
      <c r="I75" s="398"/>
      <c r="J75" s="399"/>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03"/>
      <c r="H76" s="403"/>
      <c r="I76" s="403"/>
      <c r="J76" s="403"/>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95" t="s">
        <v>489</v>
      </c>
      <c r="E77" s="396"/>
      <c r="F77" s="65"/>
      <c r="G77" s="420"/>
      <c r="H77" s="421"/>
      <c r="I77" s="421"/>
      <c r="J77" s="422"/>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95" t="s">
        <v>488</v>
      </c>
      <c r="E79" s="396"/>
      <c r="F79" s="65"/>
      <c r="G79" s="397"/>
      <c r="H79" s="398"/>
      <c r="I79" s="398"/>
      <c r="J79" s="399"/>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95" t="s">
        <v>488</v>
      </c>
      <c r="E81" s="396"/>
      <c r="F81" s="65"/>
      <c r="G81" s="397"/>
      <c r="H81" s="398"/>
      <c r="I81" s="398"/>
      <c r="J81" s="399"/>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95" t="s">
        <v>15082</v>
      </c>
      <c r="E83" s="396"/>
      <c r="F83" s="65"/>
      <c r="G83" s="397"/>
      <c r="H83" s="398"/>
      <c r="I83" s="398"/>
      <c r="J83" s="399"/>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10" t="s">
        <v>488</v>
      </c>
      <c r="E85" s="411"/>
      <c r="F85" s="65"/>
      <c r="G85" s="397"/>
      <c r="H85" s="398"/>
      <c r="I85" s="398"/>
      <c r="J85" s="399"/>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03"/>
      <c r="H86" s="403"/>
      <c r="I86" s="403"/>
      <c r="J86" s="403"/>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95" t="s">
        <v>488</v>
      </c>
      <c r="E87" s="396"/>
      <c r="F87" s="65"/>
      <c r="G87" s="397"/>
      <c r="H87" s="398"/>
      <c r="I87" s="398"/>
      <c r="J87" s="399"/>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12"/>
      <c r="H88" s="412"/>
      <c r="I88" s="412"/>
      <c r="J88" s="412"/>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95" t="s">
        <v>489</v>
      </c>
      <c r="E89" s="396"/>
      <c r="F89" s="65"/>
      <c r="G89" s="397"/>
      <c r="H89" s="398"/>
      <c r="I89" s="398"/>
      <c r="J89" s="399"/>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9" t="str">
        <f>IF(OR($D$8="",$I$3=""),"","Click here to check required fields completion")</f>
        <v/>
      </c>
      <c r="C90" s="409"/>
      <c r="D90" s="409"/>
      <c r="E90" s="409"/>
      <c r="F90" s="409"/>
      <c r="G90" s="409"/>
      <c r="H90" s="409"/>
      <c r="I90" s="409"/>
      <c r="J90" s="409"/>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07" t="str">
        <f ca="1">OFFSET(L!$C$1,MATCH("General"&amp;"Cpy",L!$A:$A,0)-1,SL,,)</f>
        <v>© 2022 Responsible Minerals Initiative. All rights reserved.</v>
      </c>
      <c r="B91" s="408"/>
      <c r="C91" s="408"/>
      <c r="D91" s="408"/>
      <c r="E91" s="408"/>
      <c r="F91" s="408"/>
      <c r="G91" s="408"/>
      <c r="H91" s="408"/>
      <c r="I91" s="408"/>
      <c r="J91" s="408"/>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134" priority="136" stopIfTrue="1">
      <formula>AND(OR($D$26="No",AND($D$26="Yes",$D$32="No")),OR($D$27="No",AND($D$27="Yes",$D$33="No")),OR($D$28="No",AND($D$28="Yes",$D$34="No")),OR($D$29="No",AND($D$29="Yes",$D$35="No")))</formula>
    </cfRule>
    <cfRule type="expression" dxfId="133" priority="137" stopIfTrue="1">
      <formula>IF(D75="",TRUE)</formula>
    </cfRule>
  </conditionalFormatting>
  <conditionalFormatting sqref="G77:J77">
    <cfRule type="expression" dxfId="132" priority="108" stopIfTrue="1">
      <formula>IF(AND($D$77="Yes",$G$77=""),TRUE)</formula>
    </cfRule>
  </conditionalFormatting>
  <conditionalFormatting sqref="D9:G9">
    <cfRule type="expression" dxfId="131" priority="203" stopIfTrue="1">
      <formula>IF($D$9="",TRUE)</formula>
    </cfRule>
  </conditionalFormatting>
  <conditionalFormatting sqref="D22:E22">
    <cfRule type="expression" dxfId="130" priority="210" stopIfTrue="1">
      <formula>IF($D$22="",TRUE)</formula>
    </cfRule>
  </conditionalFormatting>
  <conditionalFormatting sqref="G85:J85">
    <cfRule type="expression" dxfId="129" priority="98" stopIfTrue="1">
      <formula>IF(AND($D$85="Yes, using other format (describe)",$G$85=""),TRUE)</formula>
    </cfRule>
  </conditionalFormatting>
  <conditionalFormatting sqref="D8:J8">
    <cfRule type="expression" dxfId="128" priority="72" stopIfTrue="1">
      <formula>IF($D$8="",TRUE)</formula>
    </cfRule>
  </conditionalFormatting>
  <conditionalFormatting sqref="D10:J10">
    <cfRule type="expression" dxfId="127" priority="70" stopIfTrue="1">
      <formula>IF($D$9=$Q$9,TRUE)</formula>
    </cfRule>
    <cfRule type="expression" dxfId="126" priority="71" stopIfTrue="1">
      <formula>IF(AND($D$10="",$D$9=$R$9),TRUE)</formula>
    </cfRule>
  </conditionalFormatting>
  <conditionalFormatting sqref="D15:J15">
    <cfRule type="expression" dxfId="125" priority="66" stopIfTrue="1">
      <formula>IF($D$15="",TRUE)</formula>
    </cfRule>
  </conditionalFormatting>
  <conditionalFormatting sqref="D16:J16">
    <cfRule type="expression" dxfId="124" priority="67" stopIfTrue="1">
      <formula>IF($D$16="",TRUE)</formula>
    </cfRule>
  </conditionalFormatting>
  <conditionalFormatting sqref="D17:J17">
    <cfRule type="expression" dxfId="123" priority="68" stopIfTrue="1">
      <formula>IF($D$17="",TRUE)</formula>
    </cfRule>
  </conditionalFormatting>
  <conditionalFormatting sqref="D18:J18">
    <cfRule type="expression" dxfId="122" priority="69" stopIfTrue="1">
      <formula>IF($D$18="",TRUE)</formula>
    </cfRule>
  </conditionalFormatting>
  <conditionalFormatting sqref="D20:J20">
    <cfRule type="expression" dxfId="121" priority="65" stopIfTrue="1">
      <formula>IF($D$20="",TRUE)</formula>
    </cfRule>
  </conditionalFormatting>
  <conditionalFormatting sqref="D26:E26">
    <cfRule type="expression" dxfId="120" priority="60" stopIfTrue="1">
      <formula>$P$26=""</formula>
    </cfRule>
  </conditionalFormatting>
  <conditionalFormatting sqref="D26:E26">
    <cfRule type="expression" dxfId="119" priority="59" stopIfTrue="1">
      <formula>IF(AND(OR($D$26="Yes",$D$26=""),$D$32=""),1,0)</formula>
    </cfRule>
  </conditionalFormatting>
  <conditionalFormatting sqref="D27:E29">
    <cfRule type="expression" dxfId="118" priority="58" stopIfTrue="1">
      <formula>$P$26=""</formula>
    </cfRule>
  </conditionalFormatting>
  <conditionalFormatting sqref="D27:E29">
    <cfRule type="expression" dxfId="117" priority="57" stopIfTrue="1">
      <formula>IF(AND(OR($D$26="Yes",$D$26=""),$D$32=""),1,0)</formula>
    </cfRule>
  </conditionalFormatting>
  <conditionalFormatting sqref="D32:E32">
    <cfRule type="expression" dxfId="116" priority="56" stopIfTrue="1">
      <formula>$P$26=""</formula>
    </cfRule>
  </conditionalFormatting>
  <conditionalFormatting sqref="D32:E32">
    <cfRule type="expression" dxfId="115" priority="55" stopIfTrue="1">
      <formula>IF(AND(OR($D$26="Yes",$D$26=""),$D$32=""),1,0)</formula>
    </cfRule>
  </conditionalFormatting>
  <conditionalFormatting sqref="D33:E35">
    <cfRule type="expression" dxfId="114" priority="54" stopIfTrue="1">
      <formula>$P$26=""</formula>
    </cfRule>
  </conditionalFormatting>
  <conditionalFormatting sqref="D33:E35">
    <cfRule type="expression" dxfId="113" priority="53" stopIfTrue="1">
      <formula>IF(AND(OR($D$26="Yes",$D$26=""),$D$32=""),1,0)</formula>
    </cfRule>
  </conditionalFormatting>
  <conditionalFormatting sqref="D38:E41">
    <cfRule type="expression" dxfId="112" priority="52" stopIfTrue="1">
      <formula>$P$26=""</formula>
    </cfRule>
  </conditionalFormatting>
  <conditionalFormatting sqref="D38:E41">
    <cfRule type="expression" dxfId="111" priority="51" stopIfTrue="1">
      <formula>IF(AND(OR($D$26="Yes",$D$26=""),$D$32=""),1,0)</formula>
    </cfRule>
  </conditionalFormatting>
  <conditionalFormatting sqref="D44:E47">
    <cfRule type="expression" dxfId="110" priority="50" stopIfTrue="1">
      <formula>$P$26=""</formula>
    </cfRule>
  </conditionalFormatting>
  <conditionalFormatting sqref="D44:E47">
    <cfRule type="expression" dxfId="109" priority="49" stopIfTrue="1">
      <formula>IF(AND(OR($D$26="Yes",$D$26=""),$D$32=""),1,0)</formula>
    </cfRule>
  </conditionalFormatting>
  <conditionalFormatting sqref="D52:E52">
    <cfRule type="expression" dxfId="108" priority="39" stopIfTrue="1">
      <formula>$P$28=""</formula>
    </cfRule>
  </conditionalFormatting>
  <conditionalFormatting sqref="D53:E53">
    <cfRule type="expression" dxfId="107" priority="47" stopIfTrue="1">
      <formula>$P$29=""</formula>
    </cfRule>
  </conditionalFormatting>
  <conditionalFormatting sqref="D50">
    <cfRule type="expression" dxfId="106" priority="41" stopIfTrue="1">
      <formula>$P$32=""</formula>
    </cfRule>
  </conditionalFormatting>
  <conditionalFormatting sqref="D51">
    <cfRule type="expression" dxfId="105" priority="40" stopIfTrue="1">
      <formula>$P$33=""</formula>
    </cfRule>
  </conditionalFormatting>
  <conditionalFormatting sqref="D52">
    <cfRule type="expression" dxfId="104" priority="37" stopIfTrue="1">
      <formula>$P$34=""</formula>
    </cfRule>
    <cfRule type="expression" dxfId="103" priority="46" stopIfTrue="1">
      <formula>IF(AND(OR($D$28="Yes",$D$28=""),D52=""),1,0)</formula>
    </cfRule>
  </conditionalFormatting>
  <conditionalFormatting sqref="D53">
    <cfRule type="expression" dxfId="102" priority="38" stopIfTrue="1">
      <formula>$P$35=""</formula>
    </cfRule>
  </conditionalFormatting>
  <conditionalFormatting sqref="D50:E50">
    <cfRule type="expression" dxfId="101" priority="42" stopIfTrue="1">
      <formula>$P$26=""</formula>
    </cfRule>
    <cfRule type="expression" dxfId="100" priority="43" stopIfTrue="1">
      <formula>IF(AND(OR($D$26="Yes",$D$26=""),D50=""),1,0)</formula>
    </cfRule>
  </conditionalFormatting>
  <conditionalFormatting sqref="D51:E51">
    <cfRule type="expression" dxfId="99" priority="44" stopIfTrue="1">
      <formula>$P$39=""</formula>
    </cfRule>
    <cfRule type="expression" dxfId="98" priority="45" stopIfTrue="1">
      <formula>IF(AND(OR($D$27="Yes",$D$27=""),D51=""),1,0)</formula>
    </cfRule>
  </conditionalFormatting>
  <conditionalFormatting sqref="D53:E53">
    <cfRule type="expression" dxfId="97" priority="48" stopIfTrue="1">
      <formula>IF(AND(OR($D$29="Yes",$D$29=""),D53=""),1,0)</formula>
    </cfRule>
  </conditionalFormatting>
  <conditionalFormatting sqref="D58:E58">
    <cfRule type="expression" dxfId="96" priority="27" stopIfTrue="1">
      <formula>$P$28=""</formula>
    </cfRule>
  </conditionalFormatting>
  <conditionalFormatting sqref="D59:E59">
    <cfRule type="expression" dxfId="95" priority="35" stopIfTrue="1">
      <formula>$P$29=""</formula>
    </cfRule>
  </conditionalFormatting>
  <conditionalFormatting sqref="D56">
    <cfRule type="expression" dxfId="94" priority="29" stopIfTrue="1">
      <formula>$P$32=""</formula>
    </cfRule>
  </conditionalFormatting>
  <conditionalFormatting sqref="D57">
    <cfRule type="expression" dxfId="93" priority="28" stopIfTrue="1">
      <formula>$P$33=""</formula>
    </cfRule>
  </conditionalFormatting>
  <conditionalFormatting sqref="D58">
    <cfRule type="expression" dxfId="92" priority="25" stopIfTrue="1">
      <formula>$P$34=""</formula>
    </cfRule>
    <cfRule type="expression" dxfId="91" priority="34" stopIfTrue="1">
      <formula>IF(AND(OR($D$28="Yes",$D$28=""),D58=""),1,0)</formula>
    </cfRule>
  </conditionalFormatting>
  <conditionalFormatting sqref="D59">
    <cfRule type="expression" dxfId="90" priority="26" stopIfTrue="1">
      <formula>$P$35=""</formula>
    </cfRule>
  </conditionalFormatting>
  <conditionalFormatting sqref="D56:E56">
    <cfRule type="expression" dxfId="89" priority="30" stopIfTrue="1">
      <formula>$P$26=""</formula>
    </cfRule>
    <cfRule type="expression" dxfId="88" priority="31" stopIfTrue="1">
      <formula>IF(AND(OR($D$26="Yes",$D$26=""),D56=""),1,0)</formula>
    </cfRule>
  </conditionalFormatting>
  <conditionalFormatting sqref="D57:E57">
    <cfRule type="expression" dxfId="87" priority="32" stopIfTrue="1">
      <formula>$P$39=""</formula>
    </cfRule>
    <cfRule type="expression" dxfId="86" priority="33" stopIfTrue="1">
      <formula>IF(AND(OR($D$27="Yes",$D$27=""),D57=""),1,0)</formula>
    </cfRule>
  </conditionalFormatting>
  <conditionalFormatting sqref="D59:E59">
    <cfRule type="expression" dxfId="85" priority="36" stopIfTrue="1">
      <formula>IF(AND(OR($D$29="Yes",$D$29=""),D59=""),1,0)</formula>
    </cfRule>
  </conditionalFormatting>
  <conditionalFormatting sqref="D64:E64">
    <cfRule type="expression" dxfId="84" priority="15" stopIfTrue="1">
      <formula>$P$28=""</formula>
    </cfRule>
  </conditionalFormatting>
  <conditionalFormatting sqref="D65:E65">
    <cfRule type="expression" dxfId="83" priority="23" stopIfTrue="1">
      <formula>$P$29=""</formula>
    </cfRule>
  </conditionalFormatting>
  <conditionalFormatting sqref="D62">
    <cfRule type="expression" dxfId="82" priority="17" stopIfTrue="1">
      <formula>$P$32=""</formula>
    </cfRule>
  </conditionalFormatting>
  <conditionalFormatting sqref="D63">
    <cfRule type="expression" dxfId="81" priority="16" stopIfTrue="1">
      <formula>$P$33=""</formula>
    </cfRule>
  </conditionalFormatting>
  <conditionalFormatting sqref="D64">
    <cfRule type="expression" dxfId="80" priority="13" stopIfTrue="1">
      <formula>$P$34=""</formula>
    </cfRule>
    <cfRule type="expression" dxfId="79" priority="22" stopIfTrue="1">
      <formula>IF(AND(OR($D$28="Yes",$D$28=""),D64=""),1,0)</formula>
    </cfRule>
  </conditionalFormatting>
  <conditionalFormatting sqref="D65">
    <cfRule type="expression" dxfId="78" priority="14" stopIfTrue="1">
      <formula>$P$35=""</formula>
    </cfRule>
  </conditionalFormatting>
  <conditionalFormatting sqref="D62:E62">
    <cfRule type="expression" dxfId="77" priority="18" stopIfTrue="1">
      <formula>$P$26=""</formula>
    </cfRule>
    <cfRule type="expression" dxfId="76" priority="19" stopIfTrue="1">
      <formula>IF(AND(OR($D$26="Yes",$D$26=""),D62=""),1,0)</formula>
    </cfRule>
  </conditionalFormatting>
  <conditionalFormatting sqref="D63:E63">
    <cfRule type="expression" dxfId="75" priority="20" stopIfTrue="1">
      <formula>$P$39=""</formula>
    </cfRule>
    <cfRule type="expression" dxfId="74" priority="21" stopIfTrue="1">
      <formula>IF(AND(OR($D$27="Yes",$D$27=""),D63=""),1,0)</formula>
    </cfRule>
  </conditionalFormatting>
  <conditionalFormatting sqref="D65:E65">
    <cfRule type="expression" dxfId="73" priority="24" stopIfTrue="1">
      <formula>IF(AND(OR($D$29="Yes",$D$29=""),D65=""),1,0)</formula>
    </cfRule>
  </conditionalFormatting>
  <conditionalFormatting sqref="D70:E70">
    <cfRule type="expression" dxfId="72" priority="3" stopIfTrue="1">
      <formula>$P$28=""</formula>
    </cfRule>
  </conditionalFormatting>
  <conditionalFormatting sqref="D71:E71">
    <cfRule type="expression" dxfId="71" priority="11" stopIfTrue="1">
      <formula>$P$29=""</formula>
    </cfRule>
  </conditionalFormatting>
  <conditionalFormatting sqref="D68">
    <cfRule type="expression" dxfId="70" priority="5" stopIfTrue="1">
      <formula>$P$32=""</formula>
    </cfRule>
  </conditionalFormatting>
  <conditionalFormatting sqref="D69">
    <cfRule type="expression" dxfId="69" priority="4" stopIfTrue="1">
      <formula>$P$33=""</formula>
    </cfRule>
  </conditionalFormatting>
  <conditionalFormatting sqref="D70">
    <cfRule type="expression" dxfId="68" priority="1" stopIfTrue="1">
      <formula>$P$34=""</formula>
    </cfRule>
    <cfRule type="expression" dxfId="67" priority="10" stopIfTrue="1">
      <formula>IF(AND(OR($D$28="Yes",$D$28=""),D70=""),1,0)</formula>
    </cfRule>
  </conditionalFormatting>
  <conditionalFormatting sqref="D71">
    <cfRule type="expression" dxfId="66" priority="2" stopIfTrue="1">
      <formula>$P$35=""</formula>
    </cfRule>
  </conditionalFormatting>
  <conditionalFormatting sqref="D68:E68">
    <cfRule type="expression" dxfId="65" priority="6" stopIfTrue="1">
      <formula>$P$26=""</formula>
    </cfRule>
    <cfRule type="expression" dxfId="64" priority="7" stopIfTrue="1">
      <formula>IF(AND(OR($D$26="Yes",$D$26=""),D68=""),1,0)</formula>
    </cfRule>
  </conditionalFormatting>
  <conditionalFormatting sqref="D69:E69">
    <cfRule type="expression" dxfId="63" priority="8" stopIfTrue="1">
      <formula>$P$39=""</formula>
    </cfRule>
    <cfRule type="expression" dxfId="62" priority="9" stopIfTrue="1">
      <formula>IF(AND(OR($D$27="Yes",$D$27=""),D69=""),1,0)</formula>
    </cfRule>
  </conditionalFormatting>
  <conditionalFormatting sqref="D71:E71">
    <cfRule type="expression" dxfId="61" priority="12" stopIfTrue="1">
      <formula>IF(AND(OR($D$29="Yes",$D$29=""),D71=""),1,0)</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topLeftCell="L19" zoomScaleNormal="100" zoomScalePageLayoutView="55" workbookViewId="0">
      <selection activeCell="I9" sqref="I9"/>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3" t="str">
        <f ca="1">OFFSET(L!$C$1,MATCH("Smelter List"&amp;ADDRESS(ROW(),COLUMN(),4),L!$A:$A,0)-1,SL,,)</f>
        <v>Link to "RMAP Conformant Smelter List"</v>
      </c>
      <c r="K2" s="454"/>
      <c r="L2" s="454"/>
      <c r="M2" s="454"/>
      <c r="N2" s="454"/>
      <c r="O2" s="454"/>
      <c r="P2" s="224"/>
      <c r="Q2" s="225"/>
      <c r="R2" s="226"/>
      <c r="S2" s="226"/>
      <c r="T2" s="226"/>
      <c r="U2" s="254"/>
      <c r="V2" s="254"/>
      <c r="W2" s="255"/>
      <c r="X2" s="254"/>
      <c r="Y2" s="254"/>
      <c r="Z2" s="254"/>
      <c r="AH2" s="167" t="s">
        <v>488</v>
      </c>
    </row>
    <row r="3" spans="1:34" s="256" customFormat="1" ht="173.45" customHeight="1">
      <c r="A3" s="195"/>
      <c r="B3" s="45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5"/>
      <c r="D3" s="455"/>
      <c r="E3" s="455"/>
      <c r="F3" s="257"/>
      <c r="G3" s="456" t="str">
        <f ca="1">OFFSET(L!$C$1,MATCH("General"&amp;"Cpy",L!$A:$A,0)-1,SL,,)</f>
        <v>© 2022 Responsible Minerals Initiative. All rights reserved.</v>
      </c>
      <c r="H3" s="456"/>
      <c r="I3" s="457"/>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t="s">
        <v>650</v>
      </c>
      <c r="B5" s="208" t="s">
        <v>1130</v>
      </c>
      <c r="C5" s="356" t="s">
        <v>2154</v>
      </c>
      <c r="D5" s="270"/>
      <c r="E5" s="208" t="s">
        <v>1108</v>
      </c>
      <c r="F5" s="208" t="s">
        <v>650</v>
      </c>
      <c r="G5" s="208" t="s">
        <v>13320</v>
      </c>
      <c r="H5" s="357">
        <v>0</v>
      </c>
      <c r="I5" s="358" t="s">
        <v>1547</v>
      </c>
      <c r="J5" s="358" t="s">
        <v>1548</v>
      </c>
      <c r="K5" s="359"/>
      <c r="L5" s="359"/>
      <c r="M5" s="359"/>
      <c r="N5" s="359"/>
      <c r="O5" s="359" t="s">
        <v>15663</v>
      </c>
      <c r="P5" s="360" t="s">
        <v>488</v>
      </c>
      <c r="Q5" s="361" t="s">
        <v>15664</v>
      </c>
      <c r="R5" s="208" t="str">
        <f ca="1">IF(ISERROR($V5),"",OFFSET('Smelter Look-up'!$C$4,$V5-4,0)&amp;"")</f>
        <v>Aida Chemical Industries Co., Ltd.</v>
      </c>
      <c r="S5" s="215" t="str">
        <f t="shared" ref="S5" ca="1" si="0">IF(B5="","",IF(ISERROR(MATCH($E5,CL,0)),"Unknown",INDIRECT("'C'!$A$"&amp;MATCH($E5,CL,0)+1)))</f>
        <v>JP</v>
      </c>
      <c r="T5" s="215" t="str">
        <f ca="1">IF(B5="","",IF(ISERROR(MATCH($J5,SorP!$B$1:$B$6230,0)),"",INDIRECT("'SorP'!$A$"&amp;MATCH($J5,SorP!$B$1:$B$6230,0))))</f>
        <v>JP-13</v>
      </c>
      <c r="U5" s="231"/>
      <c r="V5" s="262">
        <f>IF(C5="",NA(),IF(OR(C5="Smelter not listed",C5="Smelter not yet identified"),MATCH($B5&amp;$D5,'Smelter Look-up'!$J:$J,0),MATCH($B5&amp;$C5,'Smelter Look-up'!$J:$J,0)))</f>
        <v>13</v>
      </c>
      <c r="W5" s="263"/>
      <c r="X5" s="263">
        <f t="shared" ref="X5" si="1">IF(AND(C5="Smelter not listed",OR(LEN(D5)=0,LEN(E5)=0)),1,0)</f>
        <v>0</v>
      </c>
      <c r="Y5" s="263"/>
      <c r="Z5" s="263"/>
      <c r="AB5" s="265" t="str">
        <f t="shared" ref="AB5" si="2">B5&amp;C5</f>
        <v>GoldAida Chemical Industries Co., Ltd.</v>
      </c>
    </row>
    <row r="6" spans="1:34" s="264" customFormat="1" ht="19.899999999999999" customHeight="1">
      <c r="A6" s="316" t="s">
        <v>651</v>
      </c>
      <c r="B6" s="208" t="s">
        <v>1130</v>
      </c>
      <c r="C6" s="356" t="s">
        <v>52</v>
      </c>
      <c r="D6" s="270"/>
      <c r="E6" s="208" t="s">
        <v>1101</v>
      </c>
      <c r="F6" s="208" t="s">
        <v>651</v>
      </c>
      <c r="G6" s="208" t="s">
        <v>13320</v>
      </c>
      <c r="H6" s="357">
        <v>0</v>
      </c>
      <c r="I6" s="358" t="s">
        <v>1549</v>
      </c>
      <c r="J6" s="358" t="s">
        <v>1550</v>
      </c>
      <c r="K6" s="359"/>
      <c r="L6" s="359"/>
      <c r="M6" s="359"/>
      <c r="N6" s="359"/>
      <c r="O6" s="359"/>
      <c r="P6" s="360"/>
      <c r="Q6" s="361"/>
      <c r="R6" s="208" t="str">
        <f ca="1">IF(ISERROR($V6),"",OFFSET('Smelter Look-up'!$C$4,$V6-4,0)&amp;"")</f>
        <v>Agosi AG</v>
      </c>
      <c r="S6" s="215" t="str">
        <f t="shared" ref="S6:S37" ca="1" si="3">IF(B6="","",IF(ISERROR(MATCH($E6,CL,0)),"Unknown",INDIRECT("'C'!$A$"&amp;MATCH($E6,CL,0)+1)))</f>
        <v>DE</v>
      </c>
      <c r="T6" s="215" t="str">
        <f ca="1">IF(B6="","",IF(ISERROR(MATCH($J6,SorP!$B$1:$B$6230,0)),"",INDIRECT("'SorP'!$A$"&amp;MATCH($J6,SorP!$B$1:$B$6230,0))))</f>
        <v>DE-BW</v>
      </c>
      <c r="U6" s="231"/>
      <c r="V6" s="262">
        <f>IF(C6="",NA(),IF(OR(C6="Smelter not listed",C6="Smelter not yet identified"),MATCH($B6&amp;$D6,'Smelter Look-up'!$J:$J,0),MATCH($B6&amp;$C6,'Smelter Look-up'!$J:$J,0)))</f>
        <v>19</v>
      </c>
      <c r="W6" s="263"/>
      <c r="X6" s="263">
        <f t="shared" ref="X6:X37" si="4">IF(AND(C6="Smelter not listed",OR(LEN(D6)=0,LEN(E6)=0)),1,0)</f>
        <v>0</v>
      </c>
      <c r="Y6" s="263"/>
      <c r="Z6" s="263"/>
      <c r="AB6" s="265" t="str">
        <f t="shared" ref="AB6:AB37" si="5">B6&amp;C6</f>
        <v>GoldAllgemeine Gold-und Silberscheideanstalt A.G.</v>
      </c>
    </row>
    <row r="7" spans="1:34" s="264" customFormat="1" ht="19.899999999999999" customHeight="1">
      <c r="A7" s="316" t="s">
        <v>653</v>
      </c>
      <c r="B7" s="208" t="s">
        <v>1130</v>
      </c>
      <c r="C7" s="356" t="s">
        <v>12507</v>
      </c>
      <c r="D7" s="270"/>
      <c r="E7" s="208" t="s">
        <v>1096</v>
      </c>
      <c r="F7" s="208" t="s">
        <v>653</v>
      </c>
      <c r="G7" s="208" t="s">
        <v>13320</v>
      </c>
      <c r="H7" s="357">
        <v>0</v>
      </c>
      <c r="I7" s="358" t="s">
        <v>1553</v>
      </c>
      <c r="J7" s="358" t="s">
        <v>1554</v>
      </c>
      <c r="K7" s="359"/>
      <c r="L7" s="359"/>
      <c r="M7" s="359"/>
      <c r="N7" s="359"/>
      <c r="O7" s="359"/>
      <c r="P7" s="360"/>
      <c r="Q7" s="361"/>
      <c r="R7" s="208" t="str">
        <f ca="1">IF(ISERROR($V7),"",OFFSET('Smelter Look-up'!$C$4,$V7-4,0)&amp;"")</f>
        <v>AngloGold Ashanti Corrego do Sitio Mineracao</v>
      </c>
      <c r="S7" s="215" t="str">
        <f t="shared" ca="1" si="3"/>
        <v>BR</v>
      </c>
      <c r="T7" s="215" t="str">
        <f ca="1">IF(B7="","",IF(ISERROR(MATCH($J7,SorP!$B$1:$B$6230,0)),"",INDIRECT("'SorP'!$A$"&amp;MATCH($J7,SorP!$B$1:$B$6230,0))))</f>
        <v>BR-MG</v>
      </c>
      <c r="U7" s="231"/>
      <c r="V7" s="262">
        <f>IF(C7="",NA(),IF(OR(C7="Smelter not listed",C7="Smelter not yet identified"),MATCH($B7&amp;$D7,'Smelter Look-up'!$J:$J,0),MATCH($B7&amp;$C7,'Smelter Look-up'!$J:$J,0)))</f>
        <v>23</v>
      </c>
      <c r="W7" s="263"/>
      <c r="X7" s="263">
        <f t="shared" si="4"/>
        <v>0</v>
      </c>
      <c r="Y7" s="263"/>
      <c r="Z7" s="263"/>
      <c r="AB7" s="265" t="str">
        <f t="shared" si="5"/>
        <v>GoldAngloGold Ashanti Corrego do Sitio Mineracao</v>
      </c>
    </row>
    <row r="8" spans="1:34" s="264" customFormat="1" ht="19.899999999999999" customHeight="1">
      <c r="A8" s="316" t="s">
        <v>654</v>
      </c>
      <c r="B8" s="208" t="s">
        <v>1130</v>
      </c>
      <c r="C8" s="356" t="s">
        <v>2305</v>
      </c>
      <c r="D8" s="270"/>
      <c r="E8" s="208" t="s">
        <v>1098</v>
      </c>
      <c r="F8" s="208" t="s">
        <v>654</v>
      </c>
      <c r="G8" s="208" t="s">
        <v>13320</v>
      </c>
      <c r="H8" s="357">
        <v>0</v>
      </c>
      <c r="I8" s="358" t="s">
        <v>1555</v>
      </c>
      <c r="J8" s="358" t="s">
        <v>1556</v>
      </c>
      <c r="K8" s="359" t="s">
        <v>15665</v>
      </c>
      <c r="L8" s="359" t="s">
        <v>15666</v>
      </c>
      <c r="M8" s="359" t="s">
        <v>2375</v>
      </c>
      <c r="N8" s="359" t="s">
        <v>15667</v>
      </c>
      <c r="O8" s="359" t="s">
        <v>15668</v>
      </c>
      <c r="P8" s="360" t="s">
        <v>489</v>
      </c>
      <c r="Q8" s="361"/>
      <c r="R8" s="208" t="str">
        <f ca="1">IF(ISERROR($V8),"",OFFSET('Smelter Look-up'!$C$4,$V8-4,0)&amp;"")</f>
        <v>Argor-Heraeus S.A.</v>
      </c>
      <c r="S8" s="215" t="str">
        <f t="shared" ca="1" si="3"/>
        <v>CH</v>
      </c>
      <c r="T8" s="215" t="str">
        <f ca="1">IF(B8="","",IF(ISERROR(MATCH($J8,SorP!$B$1:$B$6230,0)),"",INDIRECT("'SorP'!$A$"&amp;MATCH($J8,SorP!$B$1:$B$6230,0))))</f>
        <v>CH-TI</v>
      </c>
      <c r="U8" s="231"/>
      <c r="V8" s="262">
        <f>IF(C8="",NA(),IF(OR(C8="Smelter not listed",C8="Smelter not yet identified"),MATCH($B8&amp;$D8,'Smelter Look-up'!$J:$J,0),MATCH($B8&amp;$C8,'Smelter Look-up'!$J:$J,0)))</f>
        <v>28</v>
      </c>
      <c r="W8" s="263"/>
      <c r="X8" s="263">
        <f t="shared" si="4"/>
        <v>0</v>
      </c>
      <c r="Y8" s="263"/>
      <c r="Z8" s="263"/>
      <c r="AB8" s="265" t="str">
        <f t="shared" si="5"/>
        <v>GoldArgor-Heraeus S.A.</v>
      </c>
    </row>
    <row r="9" spans="1:34" s="264" customFormat="1" ht="19.899999999999999" customHeight="1">
      <c r="A9" s="316" t="s">
        <v>655</v>
      </c>
      <c r="B9" s="208" t="s">
        <v>1130</v>
      </c>
      <c r="C9" s="356" t="s">
        <v>2306</v>
      </c>
      <c r="D9" s="270"/>
      <c r="E9" s="208" t="s">
        <v>1108</v>
      </c>
      <c r="F9" s="208" t="s">
        <v>655</v>
      </c>
      <c r="G9" s="208" t="s">
        <v>13320</v>
      </c>
      <c r="H9" s="357">
        <v>0</v>
      </c>
      <c r="I9" s="358" t="s">
        <v>1557</v>
      </c>
      <c r="J9" s="358" t="s">
        <v>1558</v>
      </c>
      <c r="K9" s="359"/>
      <c r="L9" s="359"/>
      <c r="M9" s="359"/>
      <c r="N9" s="359"/>
      <c r="O9" s="359" t="s">
        <v>15663</v>
      </c>
      <c r="P9" s="360" t="s">
        <v>488</v>
      </c>
      <c r="Q9" s="361" t="s">
        <v>15669</v>
      </c>
      <c r="R9" s="208" t="str">
        <f ca="1">IF(ISERROR($V9),"",OFFSET('Smelter Look-up'!$C$4,$V9-4,0)&amp;"")</f>
        <v>Asahi Pretec Corp.</v>
      </c>
      <c r="S9" s="215" t="str">
        <f t="shared" ca="1" si="3"/>
        <v>JP</v>
      </c>
      <c r="T9" s="215" t="str">
        <f ca="1">IF(B9="","",IF(ISERROR(MATCH($J9,SorP!$B$1:$B$6230,0)),"",INDIRECT("'SorP'!$A$"&amp;MATCH($J9,SorP!$B$1:$B$6230,0))))</f>
        <v>JP-28</v>
      </c>
      <c r="U9" s="231"/>
      <c r="V9" s="262">
        <f>IF(C9="",NA(),IF(OR(C9="Smelter not listed",C9="Smelter not yet identified"),MATCH($B9&amp;$D9,'Smelter Look-up'!$J:$J,0),MATCH($B9&amp;$C9,'Smelter Look-up'!$J:$J,0)))</f>
        <v>29</v>
      </c>
      <c r="W9" s="263"/>
      <c r="X9" s="263">
        <f t="shared" si="4"/>
        <v>0</v>
      </c>
      <c r="Y9" s="263"/>
      <c r="Z9" s="263"/>
      <c r="AB9" s="265" t="str">
        <f t="shared" si="5"/>
        <v>GoldAsahi Pretec Corp.</v>
      </c>
    </row>
    <row r="10" spans="1:34" s="264" customFormat="1" ht="19.899999999999999" customHeight="1">
      <c r="A10" s="316" t="s">
        <v>688</v>
      </c>
      <c r="B10" s="208" t="s">
        <v>1130</v>
      </c>
      <c r="C10" s="356" t="s">
        <v>2215</v>
      </c>
      <c r="D10" s="270"/>
      <c r="E10" s="208" t="s">
        <v>2456</v>
      </c>
      <c r="F10" s="208" t="s">
        <v>688</v>
      </c>
      <c r="G10" s="208" t="s">
        <v>13320</v>
      </c>
      <c r="H10" s="357">
        <v>0</v>
      </c>
      <c r="I10" s="358" t="s">
        <v>1606</v>
      </c>
      <c r="J10" s="358" t="s">
        <v>1607</v>
      </c>
      <c r="K10" s="359"/>
      <c r="L10" s="359"/>
      <c r="M10" s="359"/>
      <c r="N10" s="359"/>
      <c r="O10" s="359"/>
      <c r="P10" s="360"/>
      <c r="Q10" s="361"/>
      <c r="R10" s="208" t="str">
        <f ca="1">IF(ISERROR($V10),"",OFFSET('Smelter Look-up'!$C$4,$V10-4,0)&amp;"")</f>
        <v>Asahi Refining USA Inc.</v>
      </c>
      <c r="S10" s="215" t="str">
        <f t="shared" ca="1" si="3"/>
        <v>US</v>
      </c>
      <c r="T10" s="215" t="str">
        <f ca="1">IF(B10="","",IF(ISERROR(MATCH($J10,SorP!$B$1:$B$6230,0)),"",INDIRECT("'SorP'!$A$"&amp;MATCH($J10,SorP!$B$1:$B$6230,0))))</f>
        <v>US-UT</v>
      </c>
      <c r="U10" s="231"/>
      <c r="V10" s="262">
        <f>IF(C10="",NA(),IF(OR(C10="Smelter not listed",C10="Smelter not yet identified"),MATCH($B10&amp;$D10,'Smelter Look-up'!$J:$J,0),MATCH($B10&amp;$C10,'Smelter Look-up'!$J:$J,0)))</f>
        <v>31</v>
      </c>
      <c r="W10" s="263"/>
      <c r="X10" s="263">
        <f t="shared" si="4"/>
        <v>0</v>
      </c>
      <c r="Y10" s="263"/>
      <c r="Z10" s="263"/>
      <c r="AB10" s="265" t="str">
        <f t="shared" si="5"/>
        <v>GoldAsahi Refining USA Inc.</v>
      </c>
    </row>
    <row r="11" spans="1:34" s="264" customFormat="1" ht="19.899999999999999" customHeight="1">
      <c r="A11" s="316" t="s">
        <v>689</v>
      </c>
      <c r="B11" s="208" t="s">
        <v>1130</v>
      </c>
      <c r="C11" s="356" t="s">
        <v>2307</v>
      </c>
      <c r="D11" s="270"/>
      <c r="E11" s="208" t="s">
        <v>1097</v>
      </c>
      <c r="F11" s="208" t="s">
        <v>689</v>
      </c>
      <c r="G11" s="208" t="s">
        <v>13320</v>
      </c>
      <c r="H11" s="357">
        <v>0</v>
      </c>
      <c r="I11" s="358" t="s">
        <v>1609</v>
      </c>
      <c r="J11" s="358" t="s">
        <v>1610</v>
      </c>
      <c r="K11" s="359"/>
      <c r="L11" s="359"/>
      <c r="M11" s="359"/>
      <c r="N11" s="359"/>
      <c r="O11" s="359"/>
      <c r="P11" s="360"/>
      <c r="Q11" s="361"/>
      <c r="R11" s="208" t="str">
        <f ca="1">IF(ISERROR($V11),"",OFFSET('Smelter Look-up'!$C$4,$V11-4,0)&amp;"")</f>
        <v>Asahi Refining Canada Ltd.</v>
      </c>
      <c r="S11" s="215" t="str">
        <f t="shared" ca="1" si="3"/>
        <v>CA</v>
      </c>
      <c r="T11" s="215" t="str">
        <f ca="1">IF(B11="","",IF(ISERROR(MATCH($J11,SorP!$B$1:$B$6230,0)),"",INDIRECT("'SorP'!$A$"&amp;MATCH($J11,SorP!$B$1:$B$6230,0))))</f>
        <v>CA-ON</v>
      </c>
      <c r="U11" s="231"/>
      <c r="V11" s="262">
        <f>IF(C11="",NA(),IF(OR(C11="Smelter not listed",C11="Smelter not yet identified"),MATCH($B11&amp;$D11,'Smelter Look-up'!$J:$J,0),MATCH($B11&amp;$C11,'Smelter Look-up'!$J:$J,0)))</f>
        <v>30</v>
      </c>
      <c r="W11" s="263"/>
      <c r="X11" s="263">
        <f t="shared" si="4"/>
        <v>0</v>
      </c>
      <c r="Y11" s="263"/>
      <c r="Z11" s="263"/>
      <c r="AB11" s="265" t="str">
        <f t="shared" si="5"/>
        <v>GoldAsahi Refining Canada Ltd.</v>
      </c>
    </row>
    <row r="12" spans="1:34" s="264" customFormat="1" ht="19.899999999999999" customHeight="1">
      <c r="A12" s="316" t="s">
        <v>658</v>
      </c>
      <c r="B12" s="208" t="s">
        <v>1130</v>
      </c>
      <c r="C12" s="356" t="s">
        <v>1224</v>
      </c>
      <c r="D12" s="270"/>
      <c r="E12" s="208" t="s">
        <v>1101</v>
      </c>
      <c r="F12" s="208" t="s">
        <v>658</v>
      </c>
      <c r="G12" s="208" t="s">
        <v>13320</v>
      </c>
      <c r="H12" s="357">
        <v>0</v>
      </c>
      <c r="I12" s="358" t="s">
        <v>1563</v>
      </c>
      <c r="J12" s="358" t="s">
        <v>1563</v>
      </c>
      <c r="K12" s="359"/>
      <c r="L12" s="359"/>
      <c r="M12" s="359"/>
      <c r="N12" s="359"/>
      <c r="O12" s="359"/>
      <c r="P12" s="360"/>
      <c r="Q12" s="361"/>
      <c r="R12" s="208" t="str">
        <f ca="1">IF(ISERROR($V12),"",OFFSET('Smelter Look-up'!$C$4,$V12-4,0)&amp;"")</f>
        <v>Aurubis AG</v>
      </c>
      <c r="S12" s="215" t="str">
        <f t="shared" ca="1" si="3"/>
        <v>DE</v>
      </c>
      <c r="T12" s="215" t="str">
        <f ca="1">IF(B12="","",IF(ISERROR(MATCH($J12,SorP!$B$1:$B$6230,0)),"",INDIRECT("'SorP'!$A$"&amp;MATCH($J12,SorP!$B$1:$B$6230,0))))</f>
        <v>DE-HH</v>
      </c>
      <c r="U12" s="231"/>
      <c r="V12" s="262">
        <f>IF(C12="",NA(),IF(OR(C12="Smelter not listed",C12="Smelter not yet identified"),MATCH($B12&amp;$D12,'Smelter Look-up'!$J:$J,0),MATCH($B12&amp;$C12,'Smelter Look-up'!$J:$J,0)))</f>
        <v>37</v>
      </c>
      <c r="W12" s="263"/>
      <c r="X12" s="263">
        <f t="shared" si="4"/>
        <v>0</v>
      </c>
      <c r="Y12" s="263"/>
      <c r="Z12" s="263"/>
      <c r="AB12" s="265" t="str">
        <f t="shared" si="5"/>
        <v>GoldAurubis AG</v>
      </c>
    </row>
    <row r="13" spans="1:34" s="264" customFormat="1" ht="19.899999999999999" customHeight="1">
      <c r="A13" s="316" t="s">
        <v>660</v>
      </c>
      <c r="B13" s="208" t="s">
        <v>1130</v>
      </c>
      <c r="C13" s="356" t="s">
        <v>1226</v>
      </c>
      <c r="D13" s="270"/>
      <c r="E13" s="208" t="s">
        <v>887</v>
      </c>
      <c r="F13" s="208" t="s">
        <v>660</v>
      </c>
      <c r="G13" s="208" t="s">
        <v>13320</v>
      </c>
      <c r="H13" s="357">
        <v>0</v>
      </c>
      <c r="I13" s="358" t="s">
        <v>1565</v>
      </c>
      <c r="J13" s="358" t="s">
        <v>10354</v>
      </c>
      <c r="K13" s="359"/>
      <c r="L13" s="359"/>
      <c r="M13" s="359"/>
      <c r="N13" s="359"/>
      <c r="O13" s="359"/>
      <c r="P13" s="360"/>
      <c r="Q13" s="361"/>
      <c r="R13" s="208" t="str">
        <f ca="1">IF(ISERROR($V13),"",OFFSET('Smelter Look-up'!$C$4,$V13-4,0)&amp;"")</f>
        <v>Boliden AB</v>
      </c>
      <c r="S13" s="215" t="str">
        <f t="shared" ca="1" si="3"/>
        <v>SE</v>
      </c>
      <c r="T13" s="215" t="str">
        <f ca="1">IF(B13="","",IF(ISERROR(MATCH($J13,SorP!$B$1:$B$6230,0)),"",INDIRECT("'SorP'!$A$"&amp;MATCH($J13,SorP!$B$1:$B$6230,0))))</f>
        <v>SE-AC</v>
      </c>
      <c r="U13" s="231"/>
      <c r="V13" s="262">
        <f>IF(C13="",NA(),IF(OR(C13="Smelter not listed",C13="Smelter not yet identified"),MATCH($B13&amp;$D13,'Smelter Look-up'!$J:$J,0),MATCH($B13&amp;$C13,'Smelter Look-up'!$J:$J,0)))</f>
        <v>42</v>
      </c>
      <c r="W13" s="263"/>
      <c r="X13" s="263">
        <f t="shared" si="4"/>
        <v>0</v>
      </c>
      <c r="Y13" s="263"/>
      <c r="Z13" s="263"/>
      <c r="AB13" s="265" t="str">
        <f t="shared" si="5"/>
        <v>GoldBoliden AB</v>
      </c>
    </row>
    <row r="14" spans="1:34" s="264" customFormat="1" ht="19.899999999999999" customHeight="1">
      <c r="A14" s="316" t="s">
        <v>662</v>
      </c>
      <c r="B14" s="208" t="s">
        <v>1130</v>
      </c>
      <c r="C14" s="356" t="s">
        <v>661</v>
      </c>
      <c r="D14" s="270"/>
      <c r="E14" s="208" t="s">
        <v>1101</v>
      </c>
      <c r="F14" s="208" t="s">
        <v>662</v>
      </c>
      <c r="G14" s="208" t="s">
        <v>13320</v>
      </c>
      <c r="H14" s="357">
        <v>0</v>
      </c>
      <c r="I14" s="358" t="s">
        <v>1549</v>
      </c>
      <c r="J14" s="358" t="s">
        <v>1550</v>
      </c>
      <c r="K14" s="359"/>
      <c r="L14" s="359"/>
      <c r="M14" s="359"/>
      <c r="N14" s="359"/>
      <c r="O14" s="359"/>
      <c r="P14" s="360"/>
      <c r="Q14" s="361"/>
      <c r="R14" s="208" t="str">
        <f ca="1">IF(ISERROR($V14),"",OFFSET('Smelter Look-up'!$C$4,$V14-4,0)&amp;"")</f>
        <v>C. Hafner GmbH + Co. KG</v>
      </c>
      <c r="S14" s="215" t="str">
        <f t="shared" ca="1" si="3"/>
        <v>DE</v>
      </c>
      <c r="T14" s="215" t="str">
        <f ca="1">IF(B14="","",IF(ISERROR(MATCH($J14,SorP!$B$1:$B$6230,0)),"",INDIRECT("'SorP'!$A$"&amp;MATCH($J14,SorP!$B$1:$B$6230,0))))</f>
        <v>DE-BW</v>
      </c>
      <c r="U14" s="231"/>
      <c r="V14" s="262">
        <f>IF(C14="",NA(),IF(OR(C14="Smelter not listed",C14="Smelter not yet identified"),MATCH($B14&amp;$D14,'Smelter Look-up'!$J:$J,0),MATCH($B14&amp;$C14,'Smelter Look-up'!$J:$J,0)))</f>
        <v>43</v>
      </c>
      <c r="W14" s="263"/>
      <c r="X14" s="263">
        <f t="shared" si="4"/>
        <v>0</v>
      </c>
      <c r="Y14" s="263"/>
      <c r="Z14" s="263"/>
      <c r="AB14" s="265" t="str">
        <f t="shared" si="5"/>
        <v>GoldC. Hafner GmbH + Co. KG</v>
      </c>
    </row>
    <row r="15" spans="1:34" s="264" customFormat="1" ht="19.899999999999999" customHeight="1">
      <c r="A15" s="316" t="s">
        <v>666</v>
      </c>
      <c r="B15" s="208" t="s">
        <v>1130</v>
      </c>
      <c r="C15" s="356" t="s">
        <v>53</v>
      </c>
      <c r="D15" s="270"/>
      <c r="E15" s="208" t="s">
        <v>1107</v>
      </c>
      <c r="F15" s="208" t="s">
        <v>666</v>
      </c>
      <c r="G15" s="208" t="s">
        <v>13320</v>
      </c>
      <c r="H15" s="357">
        <v>0</v>
      </c>
      <c r="I15" s="358" t="s">
        <v>1576</v>
      </c>
      <c r="J15" s="358" t="s">
        <v>6521</v>
      </c>
      <c r="K15" s="359"/>
      <c r="L15" s="359"/>
      <c r="M15" s="359"/>
      <c r="N15" s="359"/>
      <c r="O15" s="359"/>
      <c r="P15" s="360"/>
      <c r="Q15" s="361"/>
      <c r="R15" s="208" t="str">
        <f ca="1">IF(ISERROR($V15),"",OFFSET('Smelter Look-up'!$C$4,$V15-4,0)&amp;"")</f>
        <v>Chimet S.p.A.</v>
      </c>
      <c r="S15" s="215" t="str">
        <f t="shared" ca="1" si="3"/>
        <v>IT</v>
      </c>
      <c r="T15" s="215" t="str">
        <f ca="1">IF(B15="","",IF(ISERROR(MATCH($J15,SorP!$B$1:$B$6230,0)),"",INDIRECT("'SorP'!$A$"&amp;MATCH($J15,SorP!$B$1:$B$6230,0))))</f>
        <v>IT-52</v>
      </c>
      <c r="U15" s="231"/>
      <c r="V15" s="262">
        <f>IF(C15="",NA(),IF(OR(C15="Smelter not listed",C15="Smelter not yet identified"),MATCH($B15&amp;$D15,'Smelter Look-up'!$J:$J,0),MATCH($B15&amp;$C15,'Smelter Look-up'!$J:$J,0)))</f>
        <v>55</v>
      </c>
      <c r="W15" s="263"/>
      <c r="X15" s="263">
        <f t="shared" si="4"/>
        <v>0</v>
      </c>
      <c r="Y15" s="263"/>
      <c r="Z15" s="263"/>
      <c r="AB15" s="265" t="str">
        <f t="shared" si="5"/>
        <v>GoldChimet S.p.A.</v>
      </c>
    </row>
    <row r="16" spans="1:34" s="264" customFormat="1" ht="19.899999999999999" customHeight="1">
      <c r="A16" s="316" t="s">
        <v>673</v>
      </c>
      <c r="B16" s="208" t="s">
        <v>1130</v>
      </c>
      <c r="C16" s="356" t="s">
        <v>906</v>
      </c>
      <c r="D16" s="270"/>
      <c r="E16" s="208" t="s">
        <v>1108</v>
      </c>
      <c r="F16" s="208" t="s">
        <v>673</v>
      </c>
      <c r="G16" s="208" t="s">
        <v>13320</v>
      </c>
      <c r="H16" s="357">
        <v>0</v>
      </c>
      <c r="I16" s="358" t="s">
        <v>1581</v>
      </c>
      <c r="J16" s="358" t="s">
        <v>1582</v>
      </c>
      <c r="K16" s="359"/>
      <c r="L16" s="359"/>
      <c r="M16" s="359"/>
      <c r="N16" s="359" t="s">
        <v>15670</v>
      </c>
      <c r="O16" s="359" t="s">
        <v>15671</v>
      </c>
      <c r="P16" s="360" t="s">
        <v>489</v>
      </c>
      <c r="Q16" s="361" t="s">
        <v>15664</v>
      </c>
      <c r="R16" s="208" t="str">
        <f ca="1">IF(ISERROR($V16),"",OFFSET('Smelter Look-up'!$C$4,$V16-4,0)&amp;"")</f>
        <v>Dowa</v>
      </c>
      <c r="S16" s="215" t="str">
        <f t="shared" ca="1" si="3"/>
        <v>JP</v>
      </c>
      <c r="T16" s="215" t="str">
        <f ca="1">IF(B16="","",IF(ISERROR(MATCH($J16,SorP!$B$1:$B$6230,0)),"",INDIRECT("'SorP'!$A$"&amp;MATCH($J16,SorP!$B$1:$B$6230,0))))</f>
        <v>JP-05</v>
      </c>
      <c r="U16" s="231"/>
      <c r="V16" s="262">
        <f>IF(C16="",NA(),IF(OR(C16="Smelter not listed",C16="Smelter not yet identified"),MATCH($B16&amp;$D16,'Smelter Look-up'!$J:$J,0),MATCH($B16&amp;$C16,'Smelter Look-up'!$J:$J,0)))</f>
        <v>68</v>
      </c>
      <c r="W16" s="263"/>
      <c r="X16" s="263">
        <f t="shared" si="4"/>
        <v>0</v>
      </c>
      <c r="Y16" s="263"/>
      <c r="Z16" s="263"/>
      <c r="AB16" s="265" t="str">
        <f t="shared" si="5"/>
        <v>GoldDowa</v>
      </c>
    </row>
    <row r="17" spans="1:28" s="264" customFormat="1" ht="19.899999999999999" customHeight="1">
      <c r="A17" s="316" t="s">
        <v>678</v>
      </c>
      <c r="B17" s="208" t="s">
        <v>1130</v>
      </c>
      <c r="C17" s="356" t="s">
        <v>1039</v>
      </c>
      <c r="D17" s="270"/>
      <c r="E17" s="208" t="s">
        <v>1101</v>
      </c>
      <c r="F17" s="208" t="s">
        <v>678</v>
      </c>
      <c r="G17" s="208" t="s">
        <v>13320</v>
      </c>
      <c r="H17" s="357">
        <v>0</v>
      </c>
      <c r="I17" s="358" t="s">
        <v>1549</v>
      </c>
      <c r="J17" s="358" t="s">
        <v>1550</v>
      </c>
      <c r="K17" s="359"/>
      <c r="L17" s="359"/>
      <c r="M17" s="359"/>
      <c r="N17" s="359"/>
      <c r="O17" s="359"/>
      <c r="P17" s="360"/>
      <c r="Q17" s="361"/>
      <c r="R17" s="208" t="str">
        <f ca="1">IF(ISERROR($V17),"",OFFSET('Smelter Look-up'!$C$4,$V17-4,0)&amp;"")</f>
        <v>Heimerle + Meule GmbH</v>
      </c>
      <c r="S17" s="215" t="str">
        <f t="shared" ca="1" si="3"/>
        <v>DE</v>
      </c>
      <c r="T17" s="215" t="str">
        <f ca="1">IF(B17="","",IF(ISERROR(MATCH($J17,SorP!$B$1:$B$6230,0)),"",INDIRECT("'SorP'!$A$"&amp;MATCH($J17,SorP!$B$1:$B$6230,0))))</f>
        <v>DE-BW</v>
      </c>
      <c r="U17" s="231"/>
      <c r="V17" s="262">
        <f>IF(C17="",NA(),IF(OR(C17="Smelter not listed",C17="Smelter not yet identified"),MATCH($B17&amp;$D17,'Smelter Look-up'!$J:$J,0),MATCH($B17&amp;$C17,'Smelter Look-up'!$J:$J,0)))</f>
        <v>102</v>
      </c>
      <c r="W17" s="263"/>
      <c r="X17" s="263">
        <f t="shared" si="4"/>
        <v>0</v>
      </c>
      <c r="Y17" s="263"/>
      <c r="Z17" s="263"/>
      <c r="AB17" s="265" t="str">
        <f t="shared" si="5"/>
        <v>GoldHeimerle + Meule GmbH</v>
      </c>
    </row>
    <row r="18" spans="1:28" s="264" customFormat="1" ht="19.899999999999999" customHeight="1">
      <c r="A18" s="207" t="s">
        <v>679</v>
      </c>
      <c r="B18" s="208" t="s">
        <v>1130</v>
      </c>
      <c r="C18" s="356" t="s">
        <v>2524</v>
      </c>
      <c r="D18" s="270"/>
      <c r="E18" s="208" t="s">
        <v>1100</v>
      </c>
      <c r="F18" s="208" t="s">
        <v>679</v>
      </c>
      <c r="G18" s="208" t="s">
        <v>13320</v>
      </c>
      <c r="H18" s="357">
        <v>0</v>
      </c>
      <c r="I18" s="358" t="s">
        <v>1595</v>
      </c>
      <c r="J18" s="358" t="s">
        <v>13923</v>
      </c>
      <c r="K18" s="359" t="s">
        <v>15672</v>
      </c>
      <c r="L18" s="359" t="s">
        <v>15673</v>
      </c>
      <c r="M18" s="359" t="s">
        <v>15674</v>
      </c>
      <c r="N18" s="359" t="s">
        <v>15675</v>
      </c>
      <c r="O18" s="359" t="s">
        <v>15676</v>
      </c>
      <c r="P18" s="360" t="s">
        <v>488</v>
      </c>
      <c r="Q18" s="361"/>
      <c r="R18" s="208" t="str">
        <f ca="1">IF(ISERROR($V18),"",OFFSET('Smelter Look-up'!$C$4,$V18-4,0)&amp;"")</f>
        <v>Heraeus Metals Hong Kong Ltd.</v>
      </c>
      <c r="S18" s="215" t="str">
        <f t="shared" ca="1" si="3"/>
        <v>CN</v>
      </c>
      <c r="T18" s="215" t="str">
        <f ca="1">IF(B18="","",IF(ISERROR(MATCH($J18,SorP!$B$1:$B$6230,0)),"",INDIRECT("'SorP'!$A$"&amp;MATCH($J18,SorP!$B$1:$B$6230,0))))</f>
        <v/>
      </c>
      <c r="U18" s="231"/>
      <c r="V18" s="262">
        <f>IF(C18="",NA(),IF(OR(C18="Smelter not listed",C18="Smelter not yet identified"),MATCH($B18&amp;$D18,'Smelter Look-up'!$J:$J,0),MATCH($B18&amp;$C18,'Smelter Look-up'!$J:$J,0)))</f>
        <v>108</v>
      </c>
      <c r="W18" s="263"/>
      <c r="X18" s="263">
        <f t="shared" si="4"/>
        <v>0</v>
      </c>
      <c r="Y18" s="263"/>
      <c r="Z18" s="263"/>
      <c r="AB18" s="265" t="str">
        <f t="shared" si="5"/>
        <v>GoldHeraeus Metals Hong Kong Ltd.</v>
      </c>
    </row>
    <row r="19" spans="1:28" s="264" customFormat="1" ht="76.5">
      <c r="A19" s="207" t="s">
        <v>684</v>
      </c>
      <c r="B19" s="208" t="s">
        <v>1130</v>
      </c>
      <c r="C19" s="356" t="s">
        <v>1228</v>
      </c>
      <c r="D19" s="270"/>
      <c r="E19" s="208" t="s">
        <v>1108</v>
      </c>
      <c r="F19" s="208" t="s">
        <v>684</v>
      </c>
      <c r="G19" s="208" t="s">
        <v>13320</v>
      </c>
      <c r="H19" s="357">
        <v>0</v>
      </c>
      <c r="I19" s="358" t="s">
        <v>1601</v>
      </c>
      <c r="J19" s="358" t="s">
        <v>1587</v>
      </c>
      <c r="K19" s="359"/>
      <c r="L19" s="359"/>
      <c r="M19" s="359"/>
      <c r="N19" s="359"/>
      <c r="O19" s="359" t="s">
        <v>15663</v>
      </c>
      <c r="P19" s="360" t="s">
        <v>488</v>
      </c>
      <c r="Q19" s="361" t="s">
        <v>15669</v>
      </c>
      <c r="R19" s="208" t="str">
        <f ca="1">IF(ISERROR($V19),"",OFFSET('Smelter Look-up'!$C$4,$V19-4,0)&amp;"")</f>
        <v>Ishifuku Metal Industry Co., Ltd.</v>
      </c>
      <c r="S19" s="215" t="str">
        <f t="shared" ca="1" si="3"/>
        <v>JP</v>
      </c>
      <c r="T19" s="215" t="str">
        <f ca="1">IF(B19="","",IF(ISERROR(MATCH($J19,SorP!$B$1:$B$6230,0)),"",INDIRECT("'SorP'!$A$"&amp;MATCH($J19,SorP!$B$1:$B$6230,0))))</f>
        <v>JP-11</v>
      </c>
      <c r="U19" s="231"/>
      <c r="V19" s="262">
        <f>IF(C19="",NA(),IF(OR(C19="Smelter not listed",C19="Smelter not yet identified"),MATCH($B19&amp;$D19,'Smelter Look-up'!$J:$J,0),MATCH($B19&amp;$C19,'Smelter Look-up'!$J:$J,0)))</f>
        <v>119</v>
      </c>
      <c r="W19" s="263"/>
      <c r="X19" s="263">
        <f t="shared" si="4"/>
        <v>0</v>
      </c>
      <c r="Y19" s="263"/>
      <c r="Z19" s="263"/>
      <c r="AB19" s="265" t="str">
        <f t="shared" si="5"/>
        <v>GoldIshifuku Metal Industry Co., Ltd.</v>
      </c>
    </row>
    <row r="20" spans="1:28" s="264" customFormat="1" ht="51">
      <c r="A20" s="207" t="s">
        <v>685</v>
      </c>
      <c r="B20" s="208" t="s">
        <v>1130</v>
      </c>
      <c r="C20" s="356" t="s">
        <v>1235</v>
      </c>
      <c r="D20" s="270"/>
      <c r="E20" s="208" t="s">
        <v>889</v>
      </c>
      <c r="F20" s="208" t="s">
        <v>685</v>
      </c>
      <c r="G20" s="208" t="s">
        <v>13320</v>
      </c>
      <c r="H20" s="357">
        <v>0</v>
      </c>
      <c r="I20" s="358" t="s">
        <v>1602</v>
      </c>
      <c r="J20" s="358" t="s">
        <v>11347</v>
      </c>
      <c r="K20" s="359"/>
      <c r="L20" s="359"/>
      <c r="M20" s="359"/>
      <c r="N20" s="359"/>
      <c r="O20" s="359"/>
      <c r="P20" s="360"/>
      <c r="Q20" s="361"/>
      <c r="R20" s="208" t="str">
        <f ca="1">IF(ISERROR($V20),"",OFFSET('Smelter Look-up'!$C$4,$V20-4,0)&amp;"")</f>
        <v>Istanbul Gold Refinery</v>
      </c>
      <c r="S20" s="215" t="str">
        <f t="shared" ca="1" si="3"/>
        <v>TR</v>
      </c>
      <c r="T20" s="215" t="str">
        <f ca="1">IF(B20="","",IF(ISERROR(MATCH($J20,SorP!$B$1:$B$6230,0)),"",INDIRECT("'SorP'!$A$"&amp;MATCH($J20,SorP!$B$1:$B$6230,0))))</f>
        <v>TR-34</v>
      </c>
      <c r="U20" s="231"/>
      <c r="V20" s="262">
        <f>IF(C20="",NA(),IF(OR(C20="Smelter not listed",C20="Smelter not yet identified"),MATCH($B20&amp;$D20,'Smelter Look-up'!$J:$J,0),MATCH($B20&amp;$C20,'Smelter Look-up'!$J:$J,0)))</f>
        <v>120</v>
      </c>
      <c r="W20" s="263"/>
      <c r="X20" s="263">
        <f t="shared" si="4"/>
        <v>0</v>
      </c>
      <c r="Y20" s="263"/>
      <c r="Z20" s="263"/>
      <c r="AB20" s="265" t="str">
        <f t="shared" si="5"/>
        <v>GoldIstanbul Gold Refinery</v>
      </c>
    </row>
    <row r="21" spans="1:28" s="264" customFormat="1" ht="76.5">
      <c r="A21" s="207" t="s">
        <v>692</v>
      </c>
      <c r="B21" s="208" t="s">
        <v>1130</v>
      </c>
      <c r="C21" s="356" t="s">
        <v>55</v>
      </c>
      <c r="D21" s="270"/>
      <c r="E21" s="208" t="s">
        <v>1108</v>
      </c>
      <c r="F21" s="208" t="s">
        <v>692</v>
      </c>
      <c r="G21" s="208" t="s">
        <v>13320</v>
      </c>
      <c r="H21" s="357">
        <v>0</v>
      </c>
      <c r="I21" s="358" t="s">
        <v>2386</v>
      </c>
      <c r="J21" s="358" t="s">
        <v>6715</v>
      </c>
      <c r="K21" s="359"/>
      <c r="L21" s="359"/>
      <c r="M21" s="359"/>
      <c r="N21" s="359" t="s">
        <v>15677</v>
      </c>
      <c r="O21" s="359" t="s">
        <v>15678</v>
      </c>
      <c r="P21" s="360" t="s">
        <v>489</v>
      </c>
      <c r="Q21" s="361" t="s">
        <v>15669</v>
      </c>
      <c r="R21" s="208" t="str">
        <f ca="1">IF(ISERROR($V21),"",OFFSET('Smelter Look-up'!$C$4,$V21-4,0)&amp;"")</f>
        <v>JX Nippon Mining &amp; Metals Co., Ltd.</v>
      </c>
      <c r="S21" s="215" t="str">
        <f t="shared" ca="1" si="3"/>
        <v>JP</v>
      </c>
      <c r="T21" s="215" t="str">
        <f ca="1">IF(B21="","",IF(ISERROR(MATCH($J21,SorP!$B$1:$B$6230,0)),"",INDIRECT("'SorP'!$A$"&amp;MATCH($J21,SorP!$B$1:$B$6230,0))))</f>
        <v>JP-44</v>
      </c>
      <c r="U21" s="231"/>
      <c r="V21" s="262">
        <f>IF(C21="",NA(),IF(OR(C21="Smelter not listed",C21="Smelter not yet identified"),MATCH($B21&amp;$D21,'Smelter Look-up'!$J:$J,0),MATCH($B21&amp;$C21,'Smelter Look-up'!$J:$J,0)))</f>
        <v>133</v>
      </c>
      <c r="W21" s="263"/>
      <c r="X21" s="263">
        <f t="shared" si="4"/>
        <v>0</v>
      </c>
      <c r="Y21" s="263"/>
      <c r="Z21" s="263"/>
      <c r="AB21" s="265" t="str">
        <f t="shared" si="5"/>
        <v>GoldJX Nippon Mining &amp; Metals Co., Ltd.</v>
      </c>
    </row>
    <row r="22" spans="1:28" s="264" customFormat="1" ht="63.75">
      <c r="A22" s="207" t="s">
        <v>695</v>
      </c>
      <c r="B22" s="208" t="s">
        <v>1130</v>
      </c>
      <c r="C22" s="356" t="s">
        <v>694</v>
      </c>
      <c r="D22" s="270"/>
      <c r="E22" s="208" t="s">
        <v>2456</v>
      </c>
      <c r="F22" s="208" t="s">
        <v>695</v>
      </c>
      <c r="G22" s="208" t="s">
        <v>13320</v>
      </c>
      <c r="H22" s="357">
        <v>0</v>
      </c>
      <c r="I22" s="358" t="s">
        <v>1614</v>
      </c>
      <c r="J22" s="358" t="s">
        <v>1607</v>
      </c>
      <c r="K22" s="359"/>
      <c r="L22" s="359"/>
      <c r="M22" s="359"/>
      <c r="N22" s="359"/>
      <c r="O22" s="359"/>
      <c r="P22" s="360"/>
      <c r="Q22" s="361"/>
      <c r="R22" s="208" t="str">
        <f ca="1">IF(ISERROR($V22),"",OFFSET('Smelter Look-up'!$C$4,$V22-4,0)&amp;"")</f>
        <v>Kennecott Utah Copper LLC</v>
      </c>
      <c r="S22" s="215" t="str">
        <f t="shared" ca="1" si="3"/>
        <v>US</v>
      </c>
      <c r="T22" s="215" t="str">
        <f ca="1">IF(B22="","",IF(ISERROR(MATCH($J22,SorP!$B$1:$B$6230,0)),"",INDIRECT("'SorP'!$A$"&amp;MATCH($J22,SorP!$B$1:$B$6230,0))))</f>
        <v>US-UT</v>
      </c>
      <c r="U22" s="231"/>
      <c r="V22" s="262">
        <f>IF(C22="",NA(),IF(OR(C22="Smelter not listed",C22="Smelter not yet identified"),MATCH($B22&amp;$D22,'Smelter Look-up'!$J:$J,0),MATCH($B22&amp;$C22,'Smelter Look-up'!$J:$J,0)))</f>
        <v>138</v>
      </c>
      <c r="W22" s="263"/>
      <c r="X22" s="263">
        <f t="shared" si="4"/>
        <v>0</v>
      </c>
      <c r="Y22" s="263"/>
      <c r="Z22" s="263"/>
      <c r="AB22" s="265" t="str">
        <f t="shared" si="5"/>
        <v>GoldKennecott Utah Copper LLC</v>
      </c>
    </row>
    <row r="23" spans="1:28" s="264" customFormat="1" ht="63.75">
      <c r="A23" s="207" t="s">
        <v>696</v>
      </c>
      <c r="B23" s="208" t="s">
        <v>1130</v>
      </c>
      <c r="C23" s="356" t="s">
        <v>2161</v>
      </c>
      <c r="D23" s="270"/>
      <c r="E23" s="208" t="s">
        <v>1108</v>
      </c>
      <c r="F23" s="208" t="s">
        <v>696</v>
      </c>
      <c r="G23" s="208" t="s">
        <v>13320</v>
      </c>
      <c r="H23" s="357">
        <v>0</v>
      </c>
      <c r="I23" s="358" t="s">
        <v>1615</v>
      </c>
      <c r="J23" s="358" t="s">
        <v>1587</v>
      </c>
      <c r="K23" s="359"/>
      <c r="L23" s="359"/>
      <c r="M23" s="359"/>
      <c r="N23" s="359"/>
      <c r="O23" s="359" t="s">
        <v>15663</v>
      </c>
      <c r="P23" s="360" t="s">
        <v>488</v>
      </c>
      <c r="Q23" s="361" t="s">
        <v>15664</v>
      </c>
      <c r="R23" s="208" t="str">
        <f ca="1">IF(ISERROR($V23),"",OFFSET('Smelter Look-up'!$C$4,$V23-4,0)&amp;"")</f>
        <v>Kojima Chemicals Co., Ltd.</v>
      </c>
      <c r="S23" s="215" t="str">
        <f t="shared" ca="1" si="3"/>
        <v>JP</v>
      </c>
      <c r="T23" s="215" t="str">
        <f ca="1">IF(B23="","",IF(ISERROR(MATCH($J23,SorP!$B$1:$B$6230,0)),"",INDIRECT("'SorP'!$A$"&amp;MATCH($J23,SorP!$B$1:$B$6230,0))))</f>
        <v>JP-11</v>
      </c>
      <c r="U23" s="231"/>
      <c r="V23" s="262">
        <f>IF(C23="",NA(),IF(OR(C23="Smelter not listed",C23="Smelter not yet identified"),MATCH($B23&amp;$D23,'Smelter Look-up'!$J:$J,0),MATCH($B23&amp;$C23,'Smelter Look-up'!$J:$J,0)))</f>
        <v>142</v>
      </c>
      <c r="W23" s="263"/>
      <c r="X23" s="263">
        <f t="shared" si="4"/>
        <v>0</v>
      </c>
      <c r="Y23" s="263"/>
      <c r="Z23" s="263"/>
      <c r="AB23" s="265" t="str">
        <f t="shared" si="5"/>
        <v>GoldKojima Chemicals Co., Ltd.</v>
      </c>
    </row>
    <row r="24" spans="1:28" s="264" customFormat="1" ht="51">
      <c r="A24" s="207" t="s">
        <v>700</v>
      </c>
      <c r="B24" s="208" t="s">
        <v>1130</v>
      </c>
      <c r="C24" s="356" t="s">
        <v>56</v>
      </c>
      <c r="D24" s="270"/>
      <c r="E24" s="208" t="s">
        <v>1111</v>
      </c>
      <c r="F24" s="208" t="s">
        <v>700</v>
      </c>
      <c r="G24" s="208" t="s">
        <v>13320</v>
      </c>
      <c r="H24" s="357">
        <v>0</v>
      </c>
      <c r="I24" s="358" t="s">
        <v>1620</v>
      </c>
      <c r="J24" s="358" t="s">
        <v>12946</v>
      </c>
      <c r="K24" s="359" t="s">
        <v>15679</v>
      </c>
      <c r="L24" s="359" t="s">
        <v>15680</v>
      </c>
      <c r="M24" s="359" t="s">
        <v>15681</v>
      </c>
      <c r="N24" s="359" t="s">
        <v>15682</v>
      </c>
      <c r="O24" s="359" t="s">
        <v>15683</v>
      </c>
      <c r="P24" s="360" t="s">
        <v>489</v>
      </c>
      <c r="Q24" s="361"/>
      <c r="R24" s="208" t="str">
        <f ca="1">IF(ISERROR($V24),"",OFFSET('Smelter Look-up'!$C$4,$V24-4,0)&amp;"")</f>
        <v>LS-NIKKO Copper Inc.</v>
      </c>
      <c r="S24" s="215" t="str">
        <f t="shared" ca="1" si="3"/>
        <v>KR</v>
      </c>
      <c r="T24" s="215" t="str">
        <f ca="1">IF(B24="","",IF(ISERROR(MATCH($J24,SorP!$B$1:$B$6230,0)),"",INDIRECT("'SorP'!$A$"&amp;MATCH($J24,SorP!$B$1:$B$6230,0))))</f>
        <v>KR-31</v>
      </c>
      <c r="U24" s="231"/>
      <c r="V24" s="262">
        <f>IF(C24="",NA(),IF(OR(C24="Smelter not listed",C24="Smelter not yet identified"),MATCH($B24&amp;$D24,'Smelter Look-up'!$J:$J,0),MATCH($B24&amp;$C24,'Smelter Look-up'!$J:$J,0)))</f>
        <v>158</v>
      </c>
      <c r="W24" s="263"/>
      <c r="X24" s="263">
        <f t="shared" si="4"/>
        <v>0</v>
      </c>
      <c r="Y24" s="263"/>
      <c r="Z24" s="263"/>
      <c r="AB24" s="265" t="str">
        <f t="shared" si="5"/>
        <v>GoldLS-NIKKO Copper Inc.</v>
      </c>
    </row>
    <row r="25" spans="1:28" s="264" customFormat="1" ht="63.75">
      <c r="A25" s="207" t="s">
        <v>704</v>
      </c>
      <c r="B25" s="208" t="s">
        <v>1130</v>
      </c>
      <c r="C25" s="356" t="s">
        <v>57</v>
      </c>
      <c r="D25" s="270"/>
      <c r="E25" s="208" t="s">
        <v>1108</v>
      </c>
      <c r="F25" s="208" t="s">
        <v>704</v>
      </c>
      <c r="G25" s="208" t="s">
        <v>13320</v>
      </c>
      <c r="H25" s="357">
        <v>0</v>
      </c>
      <c r="I25" s="358" t="s">
        <v>1625</v>
      </c>
      <c r="J25" s="358" t="s">
        <v>1587</v>
      </c>
      <c r="K25" s="359"/>
      <c r="L25" s="359"/>
      <c r="M25" s="359"/>
      <c r="N25" s="359"/>
      <c r="O25" s="359" t="s">
        <v>15663</v>
      </c>
      <c r="P25" s="360" t="s">
        <v>488</v>
      </c>
      <c r="Q25" s="361" t="s">
        <v>15669</v>
      </c>
      <c r="R25" s="208" t="str">
        <f ca="1">IF(ISERROR($V25),"",OFFSET('Smelter Look-up'!$C$4,$V25-4,0)&amp;"")</f>
        <v>Matsuda Sangyo Co., Ltd.</v>
      </c>
      <c r="S25" s="215" t="str">
        <f t="shared" ca="1" si="3"/>
        <v>JP</v>
      </c>
      <c r="T25" s="215" t="str">
        <f ca="1">IF(B25="","",IF(ISERROR(MATCH($J25,SorP!$B$1:$B$6230,0)),"",INDIRECT("'SorP'!$A$"&amp;MATCH($J25,SorP!$B$1:$B$6230,0))))</f>
        <v>JP-11</v>
      </c>
      <c r="U25" s="231"/>
      <c r="V25" s="262">
        <f>IF(C25="",NA(),IF(OR(C25="Smelter not listed",C25="Smelter not yet identified"),MATCH($B25&amp;$D25,'Smelter Look-up'!$J:$J,0),MATCH($B25&amp;$C25,'Smelter Look-up'!$J:$J,0)))</f>
        <v>165</v>
      </c>
      <c r="W25" s="263"/>
      <c r="X25" s="263">
        <f t="shared" si="4"/>
        <v>0</v>
      </c>
      <c r="Y25" s="263"/>
      <c r="Z25" s="263"/>
      <c r="AB25" s="265" t="str">
        <f t="shared" si="5"/>
        <v>GoldMatsuda Sangyo Co., Ltd.</v>
      </c>
    </row>
    <row r="26" spans="1:28" s="264" customFormat="1" ht="89.25">
      <c r="A26" s="207" t="s">
        <v>705</v>
      </c>
      <c r="B26" s="208" t="s">
        <v>1130</v>
      </c>
      <c r="C26" s="356" t="s">
        <v>2164</v>
      </c>
      <c r="D26" s="270"/>
      <c r="E26" s="208" t="s">
        <v>1100</v>
      </c>
      <c r="F26" s="208" t="s">
        <v>705</v>
      </c>
      <c r="G26" s="208" t="s">
        <v>13320</v>
      </c>
      <c r="H26" s="357">
        <v>0</v>
      </c>
      <c r="I26" s="358" t="s">
        <v>1628</v>
      </c>
      <c r="J26" s="358" t="s">
        <v>13923</v>
      </c>
      <c r="K26" s="359" t="s">
        <v>15684</v>
      </c>
      <c r="L26" s="359" t="s">
        <v>15685</v>
      </c>
      <c r="M26" s="359" t="s">
        <v>12694</v>
      </c>
      <c r="N26" s="359" t="s">
        <v>15686</v>
      </c>
      <c r="O26" s="359" t="s">
        <v>15686</v>
      </c>
      <c r="P26" s="360" t="s">
        <v>489</v>
      </c>
      <c r="Q26" s="361"/>
      <c r="R26" s="208" t="str">
        <f ca="1">IF(ISERROR($V26),"",OFFSET('Smelter Look-up'!$C$4,$V26-4,0)&amp;"")</f>
        <v>Metalor Technologies (Hong Kong) Ltd.</v>
      </c>
      <c r="S26" s="215" t="str">
        <f t="shared" ca="1" si="3"/>
        <v>CN</v>
      </c>
      <c r="T26" s="215" t="str">
        <f ca="1">IF(B26="","",IF(ISERROR(MATCH($J26,SorP!$B$1:$B$6230,0)),"",INDIRECT("'SorP'!$A$"&amp;MATCH($J26,SorP!$B$1:$B$6230,0))))</f>
        <v/>
      </c>
      <c r="U26" s="231"/>
      <c r="V26" s="262">
        <f>IF(C26="",NA(),IF(OR(C26="Smelter not listed",C26="Smelter not yet identified"),MATCH($B26&amp;$D26,'Smelter Look-up'!$J:$J,0),MATCH($B26&amp;$C26,'Smelter Look-up'!$J:$J,0)))</f>
        <v>173</v>
      </c>
      <c r="W26" s="263"/>
      <c r="X26" s="263">
        <f t="shared" si="4"/>
        <v>0</v>
      </c>
      <c r="Y26" s="263"/>
      <c r="Z26" s="263"/>
      <c r="AB26" s="265" t="str">
        <f t="shared" si="5"/>
        <v>GoldMetalor Technologies (Hong Kong) Ltd.</v>
      </c>
    </row>
    <row r="27" spans="1:28" s="264" customFormat="1" ht="102">
      <c r="A27" s="207" t="s">
        <v>706</v>
      </c>
      <c r="B27" s="208" t="s">
        <v>1130</v>
      </c>
      <c r="C27" s="356" t="s">
        <v>2165</v>
      </c>
      <c r="D27" s="270"/>
      <c r="E27" s="208" t="s">
        <v>886</v>
      </c>
      <c r="F27" s="208" t="s">
        <v>706</v>
      </c>
      <c r="G27" s="208" t="s">
        <v>13320</v>
      </c>
      <c r="H27" s="357">
        <v>0</v>
      </c>
      <c r="I27" s="358" t="s">
        <v>12802</v>
      </c>
      <c r="J27" s="358" t="s">
        <v>10374</v>
      </c>
      <c r="K27" s="359" t="s">
        <v>15687</v>
      </c>
      <c r="L27" s="359" t="s">
        <v>15688</v>
      </c>
      <c r="M27" s="359" t="s">
        <v>12694</v>
      </c>
      <c r="N27" s="359" t="s">
        <v>15686</v>
      </c>
      <c r="O27" s="359" t="s">
        <v>15686</v>
      </c>
      <c r="P27" s="360" t="s">
        <v>489</v>
      </c>
      <c r="Q27" s="361"/>
      <c r="R27" s="208" t="str">
        <f ca="1">IF(ISERROR($V27),"",OFFSET('Smelter Look-up'!$C$4,$V27-4,0)&amp;"")</f>
        <v>Metalor Technologies (Singapore) Pte., Ltd.</v>
      </c>
      <c r="S27" s="215" t="str">
        <f t="shared" ca="1" si="3"/>
        <v>SG</v>
      </c>
      <c r="T27" s="215" t="str">
        <f ca="1">IF(B27="","",IF(ISERROR(MATCH($J27,SorP!$B$1:$B$6230,0)),"",INDIRECT("'SorP'!$A$"&amp;MATCH($J27,SorP!$B$1:$B$6230,0))))</f>
        <v>SG-05</v>
      </c>
      <c r="U27" s="231"/>
      <c r="V27" s="262">
        <f>IF(C27="",NA(),IF(OR(C27="Smelter not listed",C27="Smelter not yet identified"),MATCH($B27&amp;$D27,'Smelter Look-up'!$J:$J,0),MATCH($B27&amp;$C27,'Smelter Look-up'!$J:$J,0)))</f>
        <v>174</v>
      </c>
      <c r="W27" s="263"/>
      <c r="X27" s="263">
        <f t="shared" si="4"/>
        <v>0</v>
      </c>
      <c r="Y27" s="263"/>
      <c r="Z27" s="263"/>
      <c r="AB27" s="265" t="str">
        <f t="shared" si="5"/>
        <v>GoldMetalor Technologies (Singapore) Pte., Ltd.</v>
      </c>
    </row>
    <row r="28" spans="1:28" s="264" customFormat="1" ht="76.5">
      <c r="A28" s="207" t="s">
        <v>1627</v>
      </c>
      <c r="B28" s="208" t="s">
        <v>1130</v>
      </c>
      <c r="C28" s="356" t="s">
        <v>1626</v>
      </c>
      <c r="D28" s="270"/>
      <c r="E28" s="208" t="s">
        <v>1100</v>
      </c>
      <c r="F28" s="208" t="s">
        <v>1627</v>
      </c>
      <c r="G28" s="208" t="s">
        <v>13320</v>
      </c>
      <c r="H28" s="357">
        <v>0</v>
      </c>
      <c r="I28" s="358" t="s">
        <v>2536</v>
      </c>
      <c r="J28" s="358" t="s">
        <v>13712</v>
      </c>
      <c r="K28" s="359" t="s">
        <v>15689</v>
      </c>
      <c r="L28" s="359" t="s">
        <v>15690</v>
      </c>
      <c r="M28" s="359" t="s">
        <v>12694</v>
      </c>
      <c r="N28" s="359" t="s">
        <v>15691</v>
      </c>
      <c r="O28" s="359" t="s">
        <v>15692</v>
      </c>
      <c r="P28" s="360" t="s">
        <v>489</v>
      </c>
      <c r="Q28" s="361" t="s">
        <v>15693</v>
      </c>
      <c r="R28" s="208" t="str">
        <f ca="1">IF(ISERROR($V28),"",OFFSET('Smelter Look-up'!$C$4,$V28-4,0)&amp;"")</f>
        <v>Metalor Technologies (Suzhou) Ltd.</v>
      </c>
      <c r="S28" s="215" t="str">
        <f t="shared" ca="1" si="3"/>
        <v>CN</v>
      </c>
      <c r="T28" s="215" t="str">
        <f ca="1">IF(B28="","",IF(ISERROR(MATCH($J28,SorP!$B$1:$B$6230,0)),"",INDIRECT("'SorP'!$A$"&amp;MATCH($J28,SorP!$B$1:$B$6230,0))))</f>
        <v>CN-JS</v>
      </c>
      <c r="U28" s="231"/>
      <c r="V28" s="262">
        <f>IF(C28="",NA(),IF(OR(C28="Smelter not listed",C28="Smelter not yet identified"),MATCH($B28&amp;$D28,'Smelter Look-up'!$J:$J,0),MATCH($B28&amp;$C28,'Smelter Look-up'!$J:$J,0)))</f>
        <v>175</v>
      </c>
      <c r="W28" s="263"/>
      <c r="X28" s="263">
        <f t="shared" si="4"/>
        <v>0</v>
      </c>
      <c r="Y28" s="263"/>
      <c r="Z28" s="263"/>
      <c r="AB28" s="265" t="str">
        <f t="shared" si="5"/>
        <v>GoldMetalor Technologies (Suzhou) Ltd.</v>
      </c>
    </row>
    <row r="29" spans="1:28" s="264" customFormat="1" ht="63.75">
      <c r="A29" s="207" t="s">
        <v>707</v>
      </c>
      <c r="B29" s="208" t="s">
        <v>1130</v>
      </c>
      <c r="C29" s="356" t="s">
        <v>2327</v>
      </c>
      <c r="D29" s="270"/>
      <c r="E29" s="208" t="s">
        <v>1098</v>
      </c>
      <c r="F29" s="208" t="s">
        <v>707</v>
      </c>
      <c r="G29" s="208" t="s">
        <v>13320</v>
      </c>
      <c r="H29" s="357">
        <v>0</v>
      </c>
      <c r="I29" s="358" t="s">
        <v>1629</v>
      </c>
      <c r="J29" s="358" t="s">
        <v>1630</v>
      </c>
      <c r="K29" s="359" t="s">
        <v>15694</v>
      </c>
      <c r="L29" s="359" t="s">
        <v>15695</v>
      </c>
      <c r="M29" s="359" t="s">
        <v>12694</v>
      </c>
      <c r="N29" s="359" t="s">
        <v>15686</v>
      </c>
      <c r="O29" s="359" t="s">
        <v>15686</v>
      </c>
      <c r="P29" s="360" t="s">
        <v>489</v>
      </c>
      <c r="Q29" s="361"/>
      <c r="R29" s="208" t="str">
        <f ca="1">IF(ISERROR($V29),"",OFFSET('Smelter Look-up'!$C$4,$V29-4,0)&amp;"")</f>
        <v>Metalor Technologies S.A.</v>
      </c>
      <c r="S29" s="215" t="str">
        <f t="shared" ca="1" si="3"/>
        <v>CH</v>
      </c>
      <c r="T29" s="215" t="str">
        <f ca="1">IF(B29="","",IF(ISERROR(MATCH($J29,SorP!$B$1:$B$6230,0)),"",INDIRECT("'SorP'!$A$"&amp;MATCH($J29,SorP!$B$1:$B$6230,0))))</f>
        <v>CH-NE</v>
      </c>
      <c r="U29" s="231"/>
      <c r="V29" s="262">
        <f>IF(C29="",NA(),IF(OR(C29="Smelter not listed",C29="Smelter not yet identified"),MATCH($B29&amp;$D29,'Smelter Look-up'!$J:$J,0),MATCH($B29&amp;$C29,'Smelter Look-up'!$J:$J,0)))</f>
        <v>176</v>
      </c>
      <c r="W29" s="263"/>
      <c r="X29" s="263">
        <f t="shared" si="4"/>
        <v>0</v>
      </c>
      <c r="Y29" s="263"/>
      <c r="Z29" s="263"/>
      <c r="AB29" s="265" t="str">
        <f t="shared" si="5"/>
        <v>GoldMetalor Technologies S.A.</v>
      </c>
    </row>
    <row r="30" spans="1:28" s="264" customFormat="1" ht="63.75">
      <c r="A30" s="207" t="s">
        <v>708</v>
      </c>
      <c r="B30" s="208" t="s">
        <v>1130</v>
      </c>
      <c r="C30" s="356" t="s">
        <v>1229</v>
      </c>
      <c r="D30" s="270"/>
      <c r="E30" s="208" t="s">
        <v>2456</v>
      </c>
      <c r="F30" s="208" t="s">
        <v>708</v>
      </c>
      <c r="G30" s="208" t="s">
        <v>13320</v>
      </c>
      <c r="H30" s="357">
        <v>0</v>
      </c>
      <c r="I30" s="358" t="s">
        <v>1631</v>
      </c>
      <c r="J30" s="358" t="s">
        <v>1632</v>
      </c>
      <c r="K30" s="359" t="s">
        <v>15696</v>
      </c>
      <c r="L30" s="359" t="s">
        <v>15697</v>
      </c>
      <c r="M30" s="359" t="s">
        <v>12694</v>
      </c>
      <c r="N30" s="359" t="s">
        <v>15686</v>
      </c>
      <c r="O30" s="359" t="s">
        <v>15686</v>
      </c>
      <c r="P30" s="360" t="s">
        <v>489</v>
      </c>
      <c r="Q30" s="361"/>
      <c r="R30" s="208" t="str">
        <f ca="1">IF(ISERROR($V30),"",OFFSET('Smelter Look-up'!$C$4,$V30-4,0)&amp;"")</f>
        <v>Metalor USA Refining Corporation</v>
      </c>
      <c r="S30" s="215" t="str">
        <f t="shared" ca="1" si="3"/>
        <v>US</v>
      </c>
      <c r="T30" s="215" t="str">
        <f ca="1">IF(B30="","",IF(ISERROR(MATCH($J30,SorP!$B$1:$B$6230,0)),"",INDIRECT("'SorP'!$A$"&amp;MATCH($J30,SorP!$B$1:$B$6230,0))))</f>
        <v>US-MA</v>
      </c>
      <c r="U30" s="231"/>
      <c r="V30" s="262">
        <f>IF(C30="",NA(),IF(OR(C30="Smelter not listed",C30="Smelter not yet identified"),MATCH($B30&amp;$D30,'Smelter Look-up'!$J:$J,0),MATCH($B30&amp;$C30,'Smelter Look-up'!$J:$J,0)))</f>
        <v>177</v>
      </c>
      <c r="W30" s="263"/>
      <c r="X30" s="263">
        <f t="shared" si="4"/>
        <v>0</v>
      </c>
      <c r="Y30" s="263"/>
      <c r="Z30" s="263"/>
      <c r="AB30" s="265" t="str">
        <f t="shared" si="5"/>
        <v>GoldMetalor USA Refining Corporation</v>
      </c>
    </row>
    <row r="31" spans="1:28" s="264" customFormat="1" ht="76.5">
      <c r="A31" s="207" t="s">
        <v>710</v>
      </c>
      <c r="B31" s="208" t="s">
        <v>1130</v>
      </c>
      <c r="C31" s="356" t="s">
        <v>1164</v>
      </c>
      <c r="D31" s="270"/>
      <c r="E31" s="208" t="s">
        <v>1108</v>
      </c>
      <c r="F31" s="208" t="s">
        <v>710</v>
      </c>
      <c r="G31" s="208" t="s">
        <v>13320</v>
      </c>
      <c r="H31" s="357">
        <v>0</v>
      </c>
      <c r="I31" s="358" t="s">
        <v>15698</v>
      </c>
      <c r="J31" s="358" t="s">
        <v>2228</v>
      </c>
      <c r="K31" s="359"/>
      <c r="L31" s="359"/>
      <c r="M31" s="359"/>
      <c r="N31" s="359" t="s">
        <v>15670</v>
      </c>
      <c r="O31" s="359" t="s">
        <v>15671</v>
      </c>
      <c r="P31" s="360" t="s">
        <v>489</v>
      </c>
      <c r="Q31" s="361" t="s">
        <v>15669</v>
      </c>
      <c r="R31" s="208" t="str">
        <f ca="1">IF(ISERROR($V31),"",OFFSET('Smelter Look-up'!$C$4,$V31-4,0)&amp;"")</f>
        <v>Mitsubishi Materials Corporation</v>
      </c>
      <c r="S31" s="215" t="str">
        <f t="shared" ca="1" si="3"/>
        <v>JP</v>
      </c>
      <c r="T31" s="215" t="str">
        <f ca="1">IF(B31="","",IF(ISERROR(MATCH($J31,SorP!$B$1:$B$6230,0)),"",INDIRECT("'SorP'!$A$"&amp;MATCH($J31,SorP!$B$1:$B$6230,0))))</f>
        <v>JP-37</v>
      </c>
      <c r="U31" s="231"/>
      <c r="V31" s="262">
        <f>IF(C31="",NA(),IF(OR(C31="Smelter not listed",C31="Smelter not yet identified"),MATCH($B31&amp;$D31,'Smelter Look-up'!$J:$J,0),MATCH($B31&amp;$C31,'Smelter Look-up'!$J:$J,0)))</f>
        <v>182</v>
      </c>
      <c r="W31" s="263"/>
      <c r="X31" s="263">
        <f t="shared" si="4"/>
        <v>0</v>
      </c>
      <c r="Y31" s="263"/>
      <c r="Z31" s="263"/>
      <c r="AB31" s="265" t="str">
        <f t="shared" si="5"/>
        <v>GoldMitsubishi Materials Corporation</v>
      </c>
    </row>
    <row r="32" spans="1:28" s="264" customFormat="1" ht="89.25">
      <c r="A32" s="207" t="s">
        <v>711</v>
      </c>
      <c r="B32" s="208" t="s">
        <v>1130</v>
      </c>
      <c r="C32" s="356" t="s">
        <v>1230</v>
      </c>
      <c r="D32" s="270"/>
      <c r="E32" s="208" t="s">
        <v>1108</v>
      </c>
      <c r="F32" s="208" t="s">
        <v>711</v>
      </c>
      <c r="G32" s="208" t="s">
        <v>13320</v>
      </c>
      <c r="H32" s="357">
        <v>0</v>
      </c>
      <c r="I32" s="358" t="s">
        <v>1635</v>
      </c>
      <c r="J32" s="358" t="s">
        <v>1634</v>
      </c>
      <c r="K32" s="359"/>
      <c r="L32" s="359"/>
      <c r="M32" s="359"/>
      <c r="N32" s="359" t="s">
        <v>15699</v>
      </c>
      <c r="O32" s="359" t="s">
        <v>15678</v>
      </c>
      <c r="P32" s="360" t="s">
        <v>489</v>
      </c>
      <c r="Q32" s="361" t="s">
        <v>15669</v>
      </c>
      <c r="R32" s="208" t="str">
        <f ca="1">IF(ISERROR($V32),"",OFFSET('Smelter Look-up'!$C$4,$V32-4,0)&amp;"")</f>
        <v>Mitsui Mining and Smelting Co., Ltd.</v>
      </c>
      <c r="S32" s="215" t="str">
        <f t="shared" ca="1" si="3"/>
        <v>JP</v>
      </c>
      <c r="T32" s="215" t="str">
        <f ca="1">IF(B32="","",IF(ISERROR(MATCH($J32,SorP!$B$1:$B$6230,0)),"",INDIRECT("'SorP'!$A$"&amp;MATCH($J32,SorP!$B$1:$B$6230,0))))</f>
        <v>JP-34</v>
      </c>
      <c r="U32" s="231"/>
      <c r="V32" s="262">
        <f>IF(C32="",NA(),IF(OR(C32="Smelter not listed",C32="Smelter not yet identified"),MATCH($B32&amp;$D32,'Smelter Look-up'!$J:$J,0),MATCH($B32&amp;$C32,'Smelter Look-up'!$J:$J,0)))</f>
        <v>184</v>
      </c>
      <c r="W32" s="263"/>
      <c r="X32" s="263">
        <f t="shared" si="4"/>
        <v>0</v>
      </c>
      <c r="Y32" s="263"/>
      <c r="Z32" s="263"/>
      <c r="AB32" s="265" t="str">
        <f t="shared" si="5"/>
        <v>GoldMitsui Mining and Smelting Co., Ltd.</v>
      </c>
    </row>
    <row r="33" spans="1:28" s="264" customFormat="1" ht="63.75">
      <c r="A33" s="207" t="s">
        <v>715</v>
      </c>
      <c r="B33" s="208" t="s">
        <v>1130</v>
      </c>
      <c r="C33" s="356" t="s">
        <v>2168</v>
      </c>
      <c r="D33" s="270"/>
      <c r="E33" s="208" t="s">
        <v>1108</v>
      </c>
      <c r="F33" s="208" t="s">
        <v>715</v>
      </c>
      <c r="G33" s="208" t="s">
        <v>13320</v>
      </c>
      <c r="H33" s="357">
        <v>0</v>
      </c>
      <c r="I33" s="358" t="s">
        <v>1640</v>
      </c>
      <c r="J33" s="358" t="s">
        <v>1641</v>
      </c>
      <c r="K33" s="359"/>
      <c r="L33" s="359"/>
      <c r="M33" s="359"/>
      <c r="N33" s="359"/>
      <c r="O33" s="359" t="s">
        <v>15663</v>
      </c>
      <c r="P33" s="360" t="s">
        <v>488</v>
      </c>
      <c r="Q33" s="361" t="s">
        <v>15669</v>
      </c>
      <c r="R33" s="208" t="str">
        <f ca="1">IF(ISERROR($V33),"",OFFSET('Smelter Look-up'!$C$4,$V33-4,0)&amp;"")</f>
        <v>Nihon Material Co., Ltd.</v>
      </c>
      <c r="S33" s="215" t="str">
        <f t="shared" ca="1" si="3"/>
        <v>JP</v>
      </c>
      <c r="T33" s="215" t="str">
        <f ca="1">IF(B33="","",IF(ISERROR(MATCH($J33,SorP!$B$1:$B$6230,0)),"",INDIRECT("'SorP'!$A$"&amp;MATCH($J33,SorP!$B$1:$B$6230,0))))</f>
        <v>JP-12</v>
      </c>
      <c r="U33" s="231"/>
      <c r="V33" s="262">
        <f>IF(C33="",NA(),IF(OR(C33="Smelter not listed",C33="Smelter not yet identified"),MATCH($B33&amp;$D33,'Smelter Look-up'!$J:$J,0),MATCH($B33&amp;$C33,'Smelter Look-up'!$J:$J,0)))</f>
        <v>193</v>
      </c>
      <c r="W33" s="263"/>
      <c r="X33" s="263">
        <f t="shared" si="4"/>
        <v>0</v>
      </c>
      <c r="Y33" s="263"/>
      <c r="Z33" s="263"/>
      <c r="AB33" s="265" t="str">
        <f t="shared" si="5"/>
        <v>GoldNihon Material Co., Ltd.</v>
      </c>
    </row>
    <row r="34" spans="1:28" s="264" customFormat="1" ht="25.5">
      <c r="A34" s="207" t="s">
        <v>718</v>
      </c>
      <c r="B34" s="208" t="s">
        <v>1130</v>
      </c>
      <c r="C34" s="356" t="s">
        <v>2335</v>
      </c>
      <c r="D34" s="270"/>
      <c r="E34" s="208" t="s">
        <v>1098</v>
      </c>
      <c r="F34" s="208" t="s">
        <v>718</v>
      </c>
      <c r="G34" s="208" t="s">
        <v>13320</v>
      </c>
      <c r="H34" s="357">
        <v>0</v>
      </c>
      <c r="I34" s="358" t="s">
        <v>1647</v>
      </c>
      <c r="J34" s="358" t="s">
        <v>1556</v>
      </c>
      <c r="K34" s="359"/>
      <c r="L34" s="359"/>
      <c r="M34" s="359"/>
      <c r="N34" s="359"/>
      <c r="O34" s="359"/>
      <c r="P34" s="360"/>
      <c r="Q34" s="361"/>
      <c r="R34" s="208" t="str">
        <f ca="1">IF(ISERROR($V34),"",OFFSET('Smelter Look-up'!$C$4,$V34-4,0)&amp;"")</f>
        <v>PAMP S.A.</v>
      </c>
      <c r="S34" s="215" t="str">
        <f t="shared" ca="1" si="3"/>
        <v>CH</v>
      </c>
      <c r="T34" s="215" t="str">
        <f ca="1">IF(B34="","",IF(ISERROR(MATCH($J34,SorP!$B$1:$B$6230,0)),"",INDIRECT("'SorP'!$A$"&amp;MATCH($J34,SorP!$B$1:$B$6230,0))))</f>
        <v>CH-TI</v>
      </c>
      <c r="U34" s="231"/>
      <c r="V34" s="262">
        <f>IF(C34="",NA(),IF(OR(C34="Smelter not listed",C34="Smelter not yet identified"),MATCH($B34&amp;$D34,'Smelter Look-up'!$J:$J,0),MATCH($B34&amp;$C34,'Smelter Look-up'!$J:$J,0)))</f>
        <v>202</v>
      </c>
      <c r="W34" s="263"/>
      <c r="X34" s="263">
        <f t="shared" si="4"/>
        <v>0</v>
      </c>
      <c r="Y34" s="263"/>
      <c r="Z34" s="263"/>
      <c r="AB34" s="265" t="str">
        <f t="shared" si="5"/>
        <v>GoldPAMP S.A.</v>
      </c>
    </row>
    <row r="35" spans="1:28" s="264" customFormat="1" ht="51">
      <c r="A35" s="207" t="s">
        <v>724</v>
      </c>
      <c r="B35" s="208" t="s">
        <v>1130</v>
      </c>
      <c r="C35" s="356" t="s">
        <v>913</v>
      </c>
      <c r="D35" s="270"/>
      <c r="E35" s="208" t="s">
        <v>1097</v>
      </c>
      <c r="F35" s="208" t="s">
        <v>724</v>
      </c>
      <c r="G35" s="208" t="s">
        <v>13320</v>
      </c>
      <c r="H35" s="357">
        <v>0</v>
      </c>
      <c r="I35" s="358" t="s">
        <v>1653</v>
      </c>
      <c r="J35" s="358" t="s">
        <v>1610</v>
      </c>
      <c r="K35" s="359"/>
      <c r="L35" s="359"/>
      <c r="M35" s="359"/>
      <c r="N35" s="359"/>
      <c r="O35" s="359"/>
      <c r="P35" s="360"/>
      <c r="Q35" s="361"/>
      <c r="R35" s="208" t="str">
        <f ca="1">IF(ISERROR($V35),"",OFFSET('Smelter Look-up'!$C$4,$V35-4,0)&amp;"")</f>
        <v>Royal Canadian Mint</v>
      </c>
      <c r="S35" s="215" t="str">
        <f t="shared" ca="1" si="3"/>
        <v>CA</v>
      </c>
      <c r="T35" s="215" t="str">
        <f ca="1">IF(B35="","",IF(ISERROR(MATCH($J35,SorP!$B$1:$B$6230,0)),"",INDIRECT("'SorP'!$A$"&amp;MATCH($J35,SorP!$B$1:$B$6230,0))))</f>
        <v>CA-ON</v>
      </c>
      <c r="U35" s="231"/>
      <c r="V35" s="262">
        <f>IF(C35="",NA(),IF(OR(C35="Smelter not listed",C35="Smelter not yet identified"),MATCH($B35&amp;$D35,'Smelter Look-up'!$J:$J,0),MATCH($B35&amp;$C35,'Smelter Look-up'!$J:$J,0)))</f>
        <v>220</v>
      </c>
      <c r="W35" s="263"/>
      <c r="X35" s="263">
        <f t="shared" si="4"/>
        <v>0</v>
      </c>
      <c r="Y35" s="263"/>
      <c r="Z35" s="263"/>
      <c r="AB35" s="265" t="str">
        <f t="shared" si="5"/>
        <v>GoldRoyal Canadian Mint</v>
      </c>
    </row>
    <row r="36" spans="1:28" s="264" customFormat="1" ht="102">
      <c r="A36" s="207" t="s">
        <v>728</v>
      </c>
      <c r="B36" s="208" t="s">
        <v>1130</v>
      </c>
      <c r="C36" s="356" t="s">
        <v>2174</v>
      </c>
      <c r="D36" s="270"/>
      <c r="E36" s="208" t="s">
        <v>1100</v>
      </c>
      <c r="F36" s="208" t="s">
        <v>728</v>
      </c>
      <c r="G36" s="208" t="s">
        <v>13320</v>
      </c>
      <c r="H36" s="357">
        <v>0</v>
      </c>
      <c r="I36" s="358" t="s">
        <v>1592</v>
      </c>
      <c r="J36" s="358" t="s">
        <v>13700</v>
      </c>
      <c r="K36" s="359"/>
      <c r="L36" s="359"/>
      <c r="M36" s="359"/>
      <c r="N36" s="359"/>
      <c r="O36" s="359"/>
      <c r="P36" s="360"/>
      <c r="Q36" s="361"/>
      <c r="R36" s="208" t="str">
        <f ca="1">IF(ISERROR($V36),"",OFFSET('Smelter Look-up'!$C$4,$V36-4,0)&amp;"")</f>
        <v>Shandong Zhaojin Gold &amp; Silver Refinery Co., Ltd.</v>
      </c>
      <c r="S36" s="215" t="str">
        <f t="shared" ca="1" si="3"/>
        <v>CN</v>
      </c>
      <c r="T36" s="215" t="str">
        <f ca="1">IF(B36="","",IF(ISERROR(MATCH($J36,SorP!$B$1:$B$6230,0)),"",INDIRECT("'SorP'!$A$"&amp;MATCH($J36,SorP!$B$1:$B$6230,0))))</f>
        <v>CN-SD</v>
      </c>
      <c r="U36" s="231"/>
      <c r="V36" s="262">
        <f>IF(C36="",NA(),IF(OR(C36="Smelter not listed",C36="Smelter not yet identified"),MATCH($B36&amp;$D36,'Smelter Look-up'!$J:$J,0),MATCH($B36&amp;$C36,'Smelter Look-up'!$J:$J,0)))</f>
        <v>246</v>
      </c>
      <c r="W36" s="263"/>
      <c r="X36" s="263">
        <f t="shared" si="4"/>
        <v>0</v>
      </c>
      <c r="Y36" s="263"/>
      <c r="Z36" s="263"/>
      <c r="AB36" s="265" t="str">
        <f t="shared" si="5"/>
        <v>GoldShandong Zhaojin Gold &amp; Silver Refinery Co., Ltd.</v>
      </c>
    </row>
    <row r="37" spans="1:28" s="264" customFormat="1" ht="76.5">
      <c r="A37" s="207" t="s">
        <v>731</v>
      </c>
      <c r="B37" s="208" t="s">
        <v>1130</v>
      </c>
      <c r="C37" s="356" t="s">
        <v>58</v>
      </c>
      <c r="D37" s="270"/>
      <c r="E37" s="208" t="s">
        <v>1108</v>
      </c>
      <c r="F37" s="208" t="s">
        <v>731</v>
      </c>
      <c r="G37" s="208" t="s">
        <v>13320</v>
      </c>
      <c r="H37" s="357">
        <v>0</v>
      </c>
      <c r="I37" s="358" t="s">
        <v>1670</v>
      </c>
      <c r="J37" s="358" t="s">
        <v>2229</v>
      </c>
      <c r="K37" s="359"/>
      <c r="L37" s="359"/>
      <c r="M37" s="359"/>
      <c r="N37" s="359" t="s">
        <v>15700</v>
      </c>
      <c r="O37" s="359" t="s">
        <v>15701</v>
      </c>
      <c r="P37" s="360" t="s">
        <v>489</v>
      </c>
      <c r="Q37" s="361" t="s">
        <v>15669</v>
      </c>
      <c r="R37" s="208" t="str">
        <f ca="1">IF(ISERROR($V37),"",OFFSET('Smelter Look-up'!$C$4,$V37-4,0)&amp;"")</f>
        <v>Sumitomo Metal Mining Co., Ltd.</v>
      </c>
      <c r="S37" s="215" t="str">
        <f t="shared" ca="1" si="3"/>
        <v>JP</v>
      </c>
      <c r="T37" s="215" t="str">
        <f ca="1">IF(B37="","",IF(ISERROR(MATCH($J37,SorP!$B$1:$B$6230,0)),"",INDIRECT("'SorP'!$A$"&amp;MATCH($J37,SorP!$B$1:$B$6230,0))))</f>
        <v>JP-38</v>
      </c>
      <c r="U37" s="231"/>
      <c r="V37" s="262">
        <f>IF(C37="",NA(),IF(OR(C37="Smelter not listed",C37="Smelter not yet identified"),MATCH($B37&amp;$D37,'Smelter Look-up'!$J:$J,0),MATCH($B37&amp;$C37,'Smelter Look-up'!$J:$J,0)))</f>
        <v>265</v>
      </c>
      <c r="W37" s="263"/>
      <c r="X37" s="263">
        <f t="shared" si="4"/>
        <v>0</v>
      </c>
      <c r="Y37" s="263"/>
      <c r="Z37" s="263"/>
      <c r="AB37" s="265" t="str">
        <f t="shared" si="5"/>
        <v>GoldSumitomo Metal Mining Co., Ltd.</v>
      </c>
    </row>
    <row r="38" spans="1:28" s="264" customFormat="1" ht="127.5">
      <c r="A38" s="207" t="s">
        <v>732</v>
      </c>
      <c r="B38" s="208" t="s">
        <v>1130</v>
      </c>
      <c r="C38" s="356" t="s">
        <v>1233</v>
      </c>
      <c r="D38" s="270"/>
      <c r="E38" s="208" t="s">
        <v>1108</v>
      </c>
      <c r="F38" s="208" t="s">
        <v>732</v>
      </c>
      <c r="G38" s="208" t="s">
        <v>13320</v>
      </c>
      <c r="H38" s="357">
        <v>0</v>
      </c>
      <c r="I38" s="358" t="s">
        <v>1671</v>
      </c>
      <c r="J38" s="358" t="s">
        <v>1672</v>
      </c>
      <c r="K38" s="359" t="s">
        <v>15702</v>
      </c>
      <c r="L38" s="359" t="s">
        <v>15703</v>
      </c>
      <c r="M38" s="359" t="s">
        <v>15704</v>
      </c>
      <c r="N38" s="359" t="s">
        <v>15663</v>
      </c>
      <c r="O38" s="359" t="s">
        <v>15663</v>
      </c>
      <c r="P38" s="360" t="s">
        <v>488</v>
      </c>
      <c r="Q38" s="361" t="s">
        <v>15705</v>
      </c>
      <c r="R38" s="208" t="str">
        <f ca="1">IF(ISERROR($V38),"",OFFSET('Smelter Look-up'!$C$4,$V38-4,0)&amp;"")</f>
        <v>Tanaka Kikinzoku Kogyo K.K.</v>
      </c>
      <c r="S38" s="215" t="str">
        <f t="shared" ref="S38:S68" ca="1" si="6">IF(B38="","",IF(ISERROR(MATCH($E38,CL,0)),"Unknown",INDIRECT("'C'!$A$"&amp;MATCH($E38,CL,0)+1)))</f>
        <v>JP</v>
      </c>
      <c r="T38" s="215" t="str">
        <f ca="1">IF(B38="","",IF(ISERROR(MATCH($J38,SorP!$B$1:$B$6230,0)),"",INDIRECT("'SorP'!$A$"&amp;MATCH($J38,SorP!$B$1:$B$6230,0))))</f>
        <v>JP-14</v>
      </c>
      <c r="U38" s="231"/>
      <c r="V38" s="262">
        <f>IF(C38="",NA(),IF(OR(C38="Smelter not listed",C38="Smelter not yet identified"),MATCH($B38&amp;$D38,'Smelter Look-up'!$J:$J,0),MATCH($B38&amp;$C38,'Smelter Look-up'!$J:$J,0)))</f>
        <v>278</v>
      </c>
      <c r="W38" s="263"/>
      <c r="X38" s="263">
        <f t="shared" ref="X38:X68" si="7">IF(AND(C38="Smelter not listed",OR(LEN(D38)=0,LEN(E38)=0)),1,0)</f>
        <v>0</v>
      </c>
      <c r="Y38" s="263"/>
      <c r="Z38" s="263"/>
      <c r="AB38" s="265" t="str">
        <f t="shared" ref="AB38:AB68" si="8">B38&amp;C38</f>
        <v>GoldTanaka Kikinzoku Kogyo K.K.</v>
      </c>
    </row>
    <row r="39" spans="1:28" s="264" customFormat="1" ht="63.75">
      <c r="A39" s="207" t="s">
        <v>735</v>
      </c>
      <c r="B39" s="208" t="s">
        <v>1130</v>
      </c>
      <c r="C39" s="356" t="s">
        <v>2178</v>
      </c>
      <c r="D39" s="270"/>
      <c r="E39" s="208" t="s">
        <v>1108</v>
      </c>
      <c r="F39" s="208" t="s">
        <v>735</v>
      </c>
      <c r="G39" s="208" t="s">
        <v>13320</v>
      </c>
      <c r="H39" s="357">
        <v>0</v>
      </c>
      <c r="I39" s="358" t="s">
        <v>1677</v>
      </c>
      <c r="J39" s="358" t="s">
        <v>1587</v>
      </c>
      <c r="K39" s="359"/>
      <c r="L39" s="359"/>
      <c r="M39" s="359"/>
      <c r="N39" s="359"/>
      <c r="O39" s="359" t="s">
        <v>15663</v>
      </c>
      <c r="P39" s="360" t="s">
        <v>488</v>
      </c>
      <c r="Q39" s="361" t="s">
        <v>15669</v>
      </c>
      <c r="R39" s="208" t="str">
        <f ca="1">IF(ISERROR($V39),"",OFFSET('Smelter Look-up'!$C$4,$V39-4,0)&amp;"")</f>
        <v>Tokuriki Honten Co., Ltd.</v>
      </c>
      <c r="S39" s="215" t="str">
        <f t="shared" ca="1" si="6"/>
        <v>JP</v>
      </c>
      <c r="T39" s="215" t="str">
        <f ca="1">IF(B39="","",IF(ISERROR(MATCH($J39,SorP!$B$1:$B$6230,0)),"",INDIRECT("'SorP'!$A$"&amp;MATCH($J39,SorP!$B$1:$B$6230,0))))</f>
        <v>JP-11</v>
      </c>
      <c r="U39" s="231"/>
      <c r="V39" s="262">
        <f>IF(C39="",NA(),IF(OR(C39="Smelter not listed",C39="Smelter not yet identified"),MATCH($B39&amp;$D39,'Smelter Look-up'!$J:$J,0),MATCH($B39&amp;$C39,'Smelter Look-up'!$J:$J,0)))</f>
        <v>283</v>
      </c>
      <c r="W39" s="263"/>
      <c r="X39" s="263">
        <f t="shared" si="7"/>
        <v>0</v>
      </c>
      <c r="Y39" s="263"/>
      <c r="Z39" s="263"/>
      <c r="AB39" s="265" t="str">
        <f t="shared" si="8"/>
        <v>GoldTokuriki Honten Co., Ltd.</v>
      </c>
    </row>
    <row r="40" spans="1:28" s="264" customFormat="1" ht="102">
      <c r="A40" s="207" t="s">
        <v>738</v>
      </c>
      <c r="B40" s="208" t="s">
        <v>1130</v>
      </c>
      <c r="C40" s="356" t="s">
        <v>2354</v>
      </c>
      <c r="D40" s="270"/>
      <c r="E40" s="208" t="s">
        <v>1095</v>
      </c>
      <c r="F40" s="208" t="s">
        <v>738</v>
      </c>
      <c r="G40" s="208" t="s">
        <v>13320</v>
      </c>
      <c r="H40" s="357">
        <v>0</v>
      </c>
      <c r="I40" s="358" t="s">
        <v>1683</v>
      </c>
      <c r="J40" s="358" t="s">
        <v>3177</v>
      </c>
      <c r="K40" s="359"/>
      <c r="L40" s="359"/>
      <c r="M40" s="359"/>
      <c r="N40" s="359"/>
      <c r="O40" s="359"/>
      <c r="P40" s="360"/>
      <c r="Q40" s="361"/>
      <c r="R40" s="208" t="str">
        <f ca="1">IF(ISERROR($V40),"",OFFSET('Smelter Look-up'!$C$4,$V40-4,0)&amp;"")</f>
        <v>Umicore S.A. Business Unit Precious Metals Refining</v>
      </c>
      <c r="S40" s="215" t="str">
        <f t="shared" ca="1" si="6"/>
        <v>BE</v>
      </c>
      <c r="T40" s="215" t="str">
        <f ca="1">IF(B40="","",IF(ISERROR(MATCH($J40,SorP!$B$1:$B$6230,0)),"",INDIRECT("'SorP'!$A$"&amp;MATCH($J40,SorP!$B$1:$B$6230,0))))</f>
        <v>BE-VAN</v>
      </c>
      <c r="U40" s="231"/>
      <c r="V40" s="262">
        <f>IF(C40="",NA(),IF(OR(C40="Smelter not listed",C40="Smelter not yet identified"),MATCH($B40&amp;$D40,'Smelter Look-up'!$J:$J,0),MATCH($B40&amp;$C40,'Smelter Look-up'!$J:$J,0)))</f>
        <v>293</v>
      </c>
      <c r="W40" s="263"/>
      <c r="X40" s="263">
        <f t="shared" si="7"/>
        <v>0</v>
      </c>
      <c r="Y40" s="263"/>
      <c r="Z40" s="263"/>
      <c r="AB40" s="265" t="str">
        <f t="shared" si="8"/>
        <v>GoldUmicore S.A. Business Unit Precious Metals Refining</v>
      </c>
    </row>
    <row r="41" spans="1:28" s="264" customFormat="1" ht="76.5">
      <c r="A41" s="207" t="s">
        <v>739</v>
      </c>
      <c r="B41" s="208" t="s">
        <v>1130</v>
      </c>
      <c r="C41" s="356" t="s">
        <v>820</v>
      </c>
      <c r="D41" s="270"/>
      <c r="E41" s="208" t="s">
        <v>2456</v>
      </c>
      <c r="F41" s="208" t="s">
        <v>739</v>
      </c>
      <c r="G41" s="208" t="s">
        <v>13320</v>
      </c>
      <c r="H41" s="357">
        <v>0</v>
      </c>
      <c r="I41" s="358" t="s">
        <v>1685</v>
      </c>
      <c r="J41" s="358" t="s">
        <v>1624</v>
      </c>
      <c r="K41" s="359" t="s">
        <v>15706</v>
      </c>
      <c r="L41" s="359" t="s">
        <v>15707</v>
      </c>
      <c r="M41" s="359" t="s">
        <v>15708</v>
      </c>
      <c r="N41" s="359" t="s">
        <v>15709</v>
      </c>
      <c r="O41" s="359" t="s">
        <v>15709</v>
      </c>
      <c r="P41" s="360" t="s">
        <v>488</v>
      </c>
      <c r="Q41" s="361" t="s">
        <v>15710</v>
      </c>
      <c r="R41" s="208" t="str">
        <f ca="1">IF(ISERROR($V41),"",OFFSET('Smelter Look-up'!$C$4,$V41-4,0)&amp;"")</f>
        <v>United Precious Metal Refining, Inc.</v>
      </c>
      <c r="S41" s="215" t="str">
        <f t="shared" ca="1" si="6"/>
        <v>US</v>
      </c>
      <c r="T41" s="215" t="str">
        <f ca="1">IF(B41="","",IF(ISERROR(MATCH($J41,SorP!$B$1:$B$6230,0)),"",INDIRECT("'SorP'!$A$"&amp;MATCH($J41,SorP!$B$1:$B$6230,0))))</f>
        <v>US-NY</v>
      </c>
      <c r="U41" s="231"/>
      <c r="V41" s="262">
        <f>IF(C41="",NA(),IF(OR(C41="Smelter not listed",C41="Smelter not yet identified"),MATCH($B41&amp;$D41,'Smelter Look-up'!$J:$J,0),MATCH($B41&amp;$C41,'Smelter Look-up'!$J:$J,0)))</f>
        <v>294</v>
      </c>
      <c r="W41" s="263"/>
      <c r="X41" s="263">
        <f t="shared" si="7"/>
        <v>0</v>
      </c>
      <c r="Y41" s="263"/>
      <c r="Z41" s="263"/>
      <c r="AB41" s="265" t="str">
        <f t="shared" si="8"/>
        <v>GoldUnited Precious Metal Refining, Inc.</v>
      </c>
    </row>
    <row r="42" spans="1:28" s="264" customFormat="1" ht="51">
      <c r="A42" s="207" t="s">
        <v>656</v>
      </c>
      <c r="B42" s="208" t="s">
        <v>1130</v>
      </c>
      <c r="C42" s="356" t="s">
        <v>2155</v>
      </c>
      <c r="D42" s="270"/>
      <c r="E42" s="208" t="s">
        <v>1108</v>
      </c>
      <c r="F42" s="208" t="s">
        <v>656</v>
      </c>
      <c r="G42" s="208" t="s">
        <v>13320</v>
      </c>
      <c r="H42" s="357">
        <v>0</v>
      </c>
      <c r="I42" s="358" t="s">
        <v>1560</v>
      </c>
      <c r="J42" s="358" t="s">
        <v>1561</v>
      </c>
      <c r="K42" s="359" t="s">
        <v>15711</v>
      </c>
      <c r="L42" s="359" t="s">
        <v>15712</v>
      </c>
      <c r="M42" s="359"/>
      <c r="N42" s="359" t="s">
        <v>15713</v>
      </c>
      <c r="O42" s="359" t="s">
        <v>15713</v>
      </c>
      <c r="P42" s="360" t="s">
        <v>489</v>
      </c>
      <c r="Q42" s="361"/>
      <c r="R42" s="208" t="str">
        <f ca="1">IF(ISERROR($V42),"",OFFSET('Smelter Look-up'!$C$4,$V42-4,0)&amp;"")</f>
        <v>Asaka Riken Co., Ltd.</v>
      </c>
      <c r="S42" s="215" t="str">
        <f t="shared" ca="1" si="6"/>
        <v>JP</v>
      </c>
      <c r="T42" s="215" t="str">
        <f ca="1">IF(B42="","",IF(ISERROR(MATCH($J42,SorP!$B$1:$B$6230,0)),"",INDIRECT("'SorP'!$A$"&amp;MATCH($J42,SorP!$B$1:$B$6230,0))))</f>
        <v>JP-07</v>
      </c>
      <c r="U42" s="231"/>
      <c r="V42" s="262">
        <f>IF(C42="",NA(),IF(OR(C42="Smelter not listed",C42="Smelter not yet identified"),MATCH($B42&amp;$D42,'Smelter Look-up'!$J:$J,0),MATCH($B42&amp;$C42,'Smelter Look-up'!$J:$J,0)))</f>
        <v>32</v>
      </c>
      <c r="W42" s="263"/>
      <c r="X42" s="263">
        <f t="shared" si="7"/>
        <v>0</v>
      </c>
      <c r="Y42" s="263"/>
      <c r="Z42" s="263"/>
      <c r="AB42" s="265" t="str">
        <f t="shared" si="8"/>
        <v>GoldAsaka Riken Co., Ltd.</v>
      </c>
    </row>
    <row r="43" spans="1:28" s="264" customFormat="1" ht="89.25">
      <c r="A43" s="207" t="s">
        <v>13010</v>
      </c>
      <c r="B43" s="208" t="s">
        <v>1131</v>
      </c>
      <c r="C43" s="356" t="s">
        <v>13009</v>
      </c>
      <c r="D43" s="270"/>
      <c r="E43" s="208" t="s">
        <v>1100</v>
      </c>
      <c r="F43" s="208" t="s">
        <v>13010</v>
      </c>
      <c r="G43" s="208" t="s">
        <v>13320</v>
      </c>
      <c r="H43" s="357">
        <v>0</v>
      </c>
      <c r="I43" s="358" t="s">
        <v>13028</v>
      </c>
      <c r="J43" s="358" t="s">
        <v>13682</v>
      </c>
      <c r="K43" s="359"/>
      <c r="L43" s="359" t="s">
        <v>15714</v>
      </c>
      <c r="M43" s="359" t="s">
        <v>15708</v>
      </c>
      <c r="N43" s="359"/>
      <c r="O43" s="359" t="s">
        <v>15715</v>
      </c>
      <c r="P43" s="360" t="s">
        <v>490</v>
      </c>
      <c r="Q43" s="361" t="s">
        <v>15716</v>
      </c>
      <c r="R43" s="208" t="str">
        <f ca="1">IF(ISERROR($V43),"",OFFSET('Smelter Look-up'!$C$4,$V43-4,0)&amp;"")</f>
        <v>Chifeng Dajingzi Tin Industry Co., Ltd.</v>
      </c>
      <c r="S43" s="215" t="str">
        <f t="shared" ca="1" si="6"/>
        <v>CN</v>
      </c>
      <c r="T43" s="215" t="str">
        <f ca="1">IF(B43="","",IF(ISERROR(MATCH($J43,SorP!$B$1:$B$6230,0)),"",INDIRECT("'SorP'!$A$"&amp;MATCH($J43,SorP!$B$1:$B$6230,0))))</f>
        <v>CN-NM</v>
      </c>
      <c r="U43" s="231"/>
      <c r="V43" s="262">
        <f>IF(C43="",NA(),IF(OR(C43="Smelter not listed",C43="Smelter not yet identified"),MATCH($B43&amp;$D43,'Smelter Look-up'!$J:$J,0),MATCH($B43&amp;$C43,'Smelter Look-up'!$J:$J,0)))</f>
        <v>400</v>
      </c>
      <c r="W43" s="263"/>
      <c r="X43" s="263">
        <f t="shared" si="7"/>
        <v>0</v>
      </c>
      <c r="Y43" s="263"/>
      <c r="Z43" s="263"/>
      <c r="AB43" s="265" t="str">
        <f t="shared" si="8"/>
        <v>TinChifeng Dajingzi Tin Industry Co., Ltd.</v>
      </c>
    </row>
    <row r="44" spans="1:28" s="264" customFormat="1" ht="63.75">
      <c r="A44" s="207" t="s">
        <v>773</v>
      </c>
      <c r="B44" s="208" t="s">
        <v>1131</v>
      </c>
      <c r="C44" s="356" t="s">
        <v>1327</v>
      </c>
      <c r="D44" s="270"/>
      <c r="E44" s="208" t="s">
        <v>1100</v>
      </c>
      <c r="F44" s="208" t="s">
        <v>773</v>
      </c>
      <c r="G44" s="208" t="s">
        <v>13320</v>
      </c>
      <c r="H44" s="357">
        <v>0</v>
      </c>
      <c r="I44" s="358" t="s">
        <v>1788</v>
      </c>
      <c r="J44" s="358" t="s">
        <v>13683</v>
      </c>
      <c r="K44" s="359"/>
      <c r="L44" s="359"/>
      <c r="M44" s="359" t="s">
        <v>15708</v>
      </c>
      <c r="N44" s="359"/>
      <c r="O44" s="359"/>
      <c r="P44" s="360" t="s">
        <v>490</v>
      </c>
      <c r="Q44" s="361"/>
      <c r="R44" s="208" t="str">
        <f ca="1">IF(ISERROR($V44),"",OFFSET('Smelter Look-up'!$C$4,$V44-4,0)&amp;"")</f>
        <v>China Tin Group Co., Ltd.</v>
      </c>
      <c r="S44" s="215" t="str">
        <f t="shared" ca="1" si="6"/>
        <v>CN</v>
      </c>
      <c r="T44" s="215" t="str">
        <f ca="1">IF(B44="","",IF(ISERROR(MATCH($J44,SorP!$B$1:$B$6230,0)),"",INDIRECT("'SorP'!$A$"&amp;MATCH($J44,SorP!$B$1:$B$6230,0))))</f>
        <v>CN-GX</v>
      </c>
      <c r="U44" s="231"/>
      <c r="V44" s="262">
        <f>IF(C44="",NA(),IF(OR(C44="Smelter not listed",C44="Smelter not yet identified"),MATCH($B44&amp;$D44,'Smelter Look-up'!$J:$J,0),MATCH($B44&amp;$C44,'Smelter Look-up'!$J:$J,0)))</f>
        <v>402</v>
      </c>
      <c r="W44" s="263"/>
      <c r="X44" s="263">
        <f t="shared" si="7"/>
        <v>0</v>
      </c>
      <c r="Y44" s="263"/>
      <c r="Z44" s="263"/>
      <c r="AB44" s="265" t="str">
        <f t="shared" si="8"/>
        <v>TinChina Tin Group Co., Ltd.</v>
      </c>
    </row>
    <row r="45" spans="1:28" s="264" customFormat="1" ht="25.5">
      <c r="A45" s="207" t="s">
        <v>769</v>
      </c>
      <c r="B45" s="208" t="s">
        <v>1131</v>
      </c>
      <c r="C45" s="356" t="s">
        <v>815</v>
      </c>
      <c r="D45" s="270"/>
      <c r="E45" s="208" t="s">
        <v>882</v>
      </c>
      <c r="F45" s="208" t="s">
        <v>769</v>
      </c>
      <c r="G45" s="208" t="s">
        <v>13320</v>
      </c>
      <c r="H45" s="357">
        <v>0</v>
      </c>
      <c r="I45" s="358" t="s">
        <v>1784</v>
      </c>
      <c r="J45" s="358" t="s">
        <v>9580</v>
      </c>
      <c r="K45" s="359"/>
      <c r="L45" s="359"/>
      <c r="M45" s="359"/>
      <c r="N45" s="359"/>
      <c r="O45" s="359"/>
      <c r="P45" s="360"/>
      <c r="Q45" s="361"/>
      <c r="R45" s="208" t="str">
        <f ca="1">IF(ISERROR($V45),"",OFFSET('Smelter Look-up'!$C$4,$V45-4,0)&amp;"")</f>
        <v>Fenix Metals</v>
      </c>
      <c r="S45" s="215" t="str">
        <f t="shared" ca="1" si="6"/>
        <v>PL</v>
      </c>
      <c r="T45" s="215" t="str">
        <f ca="1">IF(B45="","",IF(ISERROR(MATCH($J45,SorP!$B$1:$B$6230,0)),"",INDIRECT("'SorP'!$A$"&amp;MATCH($J45,SorP!$B$1:$B$6230,0))))</f>
        <v>PL-18</v>
      </c>
      <c r="U45" s="231"/>
      <c r="V45" s="262">
        <f>IF(C45="",NA(),IF(OR(C45="Smelter not listed",C45="Smelter not yet identified"),MATCH($B45&amp;$D45,'Smelter Look-up'!$J:$J,0),MATCH($B45&amp;$C45,'Smelter Look-up'!$J:$J,0)))</f>
        <v>427</v>
      </c>
      <c r="W45" s="263"/>
      <c r="X45" s="263">
        <f t="shared" si="7"/>
        <v>0</v>
      </c>
      <c r="Y45" s="263"/>
      <c r="Z45" s="263"/>
      <c r="AB45" s="265" t="str">
        <f t="shared" si="8"/>
        <v>TinFenix Metals</v>
      </c>
    </row>
    <row r="46" spans="1:28" s="264" customFormat="1" ht="89.25">
      <c r="A46" s="207" t="s">
        <v>770</v>
      </c>
      <c r="B46" s="208" t="s">
        <v>1131</v>
      </c>
      <c r="C46" s="356" t="s">
        <v>2158</v>
      </c>
      <c r="D46" s="270"/>
      <c r="E46" s="208" t="s">
        <v>1100</v>
      </c>
      <c r="F46" s="208" t="s">
        <v>770</v>
      </c>
      <c r="G46" s="208" t="s">
        <v>13320</v>
      </c>
      <c r="H46" s="357">
        <v>0</v>
      </c>
      <c r="I46" s="358" t="s">
        <v>2470</v>
      </c>
      <c r="J46" s="358" t="s">
        <v>13708</v>
      </c>
      <c r="K46" s="359" t="s">
        <v>15717</v>
      </c>
      <c r="L46" s="359" t="s">
        <v>15718</v>
      </c>
      <c r="M46" s="359" t="s">
        <v>15708</v>
      </c>
      <c r="N46" s="359" t="s">
        <v>15719</v>
      </c>
      <c r="O46" s="359" t="s">
        <v>15720</v>
      </c>
      <c r="P46" s="360" t="s">
        <v>489</v>
      </c>
      <c r="Q46" s="361" t="s">
        <v>15721</v>
      </c>
      <c r="R46" s="208" t="str">
        <f ca="1">IF(ISERROR($V46),"",OFFSET('Smelter Look-up'!$C$4,$V46-4,0)&amp;"")</f>
        <v>Gejiu Non-Ferrous Metal Processing Co., Ltd.</v>
      </c>
      <c r="S46" s="215" t="str">
        <f t="shared" ca="1" si="6"/>
        <v>CN</v>
      </c>
      <c r="T46" s="215" t="str">
        <f ca="1">IF(B46="","",IF(ISERROR(MATCH($J46,SorP!$B$1:$B$6230,0)),"",INDIRECT("'SorP'!$A$"&amp;MATCH($J46,SorP!$B$1:$B$6230,0))))</f>
        <v>CN-YN</v>
      </c>
      <c r="U46" s="231"/>
      <c r="V46" s="262">
        <f>IF(C46="",NA(),IF(OR(C46="Smelter not listed",C46="Smelter not yet identified"),MATCH($B46&amp;$D46,'Smelter Look-up'!$J:$J,0),MATCH($B46&amp;$C46,'Smelter Look-up'!$J:$J,0)))</f>
        <v>433</v>
      </c>
      <c r="W46" s="263"/>
      <c r="X46" s="263">
        <f t="shared" si="7"/>
        <v>0</v>
      </c>
      <c r="Y46" s="263"/>
      <c r="Z46" s="263"/>
      <c r="AB46" s="265" t="str">
        <f t="shared" si="8"/>
        <v>TinGejiu Non-Ferrous Metal Processing Co., Ltd.</v>
      </c>
    </row>
    <row r="47" spans="1:28" s="264" customFormat="1" ht="102">
      <c r="A47" s="207" t="s">
        <v>2553</v>
      </c>
      <c r="B47" s="208" t="s">
        <v>1131</v>
      </c>
      <c r="C47" s="356" t="s">
        <v>2552</v>
      </c>
      <c r="D47" s="270"/>
      <c r="E47" s="208" t="s">
        <v>1100</v>
      </c>
      <c r="F47" s="208" t="s">
        <v>2553</v>
      </c>
      <c r="G47" s="208" t="s">
        <v>13320</v>
      </c>
      <c r="H47" s="357">
        <v>0</v>
      </c>
      <c r="I47" s="358" t="s">
        <v>1838</v>
      </c>
      <c r="J47" s="358" t="s">
        <v>13704</v>
      </c>
      <c r="K47" s="359"/>
      <c r="L47" s="359"/>
      <c r="M47" s="359" t="s">
        <v>15708</v>
      </c>
      <c r="N47" s="359" t="s">
        <v>15709</v>
      </c>
      <c r="O47" s="359" t="s">
        <v>15709</v>
      </c>
      <c r="P47" s="360" t="s">
        <v>488</v>
      </c>
      <c r="Q47" s="361" t="s">
        <v>15722</v>
      </c>
      <c r="R47" s="208" t="str">
        <f ca="1">IF(ISERROR($V47),"",OFFSET('Smelter Look-up'!$C$4,$V47-4,0)&amp;"")</f>
        <v>Guangdong Hanhe Non-Ferrous Metal Co., Ltd.</v>
      </c>
      <c r="S47" s="215" t="str">
        <f t="shared" ca="1" si="6"/>
        <v>CN</v>
      </c>
      <c r="T47" s="215" t="str">
        <f ca="1">IF(B47="","",IF(ISERROR(MATCH($J47,SorP!$B$1:$B$6230,0)),"",INDIRECT("'SorP'!$A$"&amp;MATCH($J47,SorP!$B$1:$B$6230,0))))</f>
        <v>CN-GD</v>
      </c>
      <c r="U47" s="231"/>
      <c r="V47" s="262">
        <f>IF(C47="",NA(),IF(OR(C47="Smelter not listed",C47="Smelter not yet identified"),MATCH($B47&amp;$D47,'Smelter Look-up'!$J:$J,0),MATCH($B47&amp;$C47,'Smelter Look-up'!$J:$J,0)))</f>
        <v>439</v>
      </c>
      <c r="W47" s="263"/>
      <c r="X47" s="263">
        <f t="shared" si="7"/>
        <v>0</v>
      </c>
      <c r="Y47" s="263"/>
      <c r="Z47" s="263"/>
      <c r="AB47" s="265" t="str">
        <f t="shared" si="8"/>
        <v>TinGuangdong Hanhe Non-Ferrous Metal Co., Ltd.</v>
      </c>
    </row>
    <row r="48" spans="1:28" s="264" customFormat="1" ht="76.5">
      <c r="A48" s="207" t="s">
        <v>774</v>
      </c>
      <c r="B48" s="208" t="s">
        <v>1131</v>
      </c>
      <c r="C48" s="356" t="s">
        <v>821</v>
      </c>
      <c r="D48" s="270"/>
      <c r="E48" s="208" t="s">
        <v>1115</v>
      </c>
      <c r="F48" s="208" t="s">
        <v>774</v>
      </c>
      <c r="G48" s="208" t="s">
        <v>13320</v>
      </c>
      <c r="H48" s="357">
        <v>0</v>
      </c>
      <c r="I48" s="358" t="s">
        <v>1793</v>
      </c>
      <c r="J48" s="358" t="s">
        <v>8739</v>
      </c>
      <c r="K48" s="359" t="s">
        <v>15723</v>
      </c>
      <c r="L48" s="359" t="s">
        <v>15724</v>
      </c>
      <c r="M48" s="359" t="s">
        <v>15725</v>
      </c>
      <c r="N48" s="359" t="s">
        <v>15726</v>
      </c>
      <c r="O48" s="359" t="s">
        <v>15727</v>
      </c>
      <c r="P48" s="360" t="s">
        <v>489</v>
      </c>
      <c r="Q48" s="361"/>
      <c r="R48" s="208" t="str">
        <f ca="1">IF(ISERROR($V48),"",OFFSET('Smelter Look-up'!$C$4,$V48-4,0)&amp;"")</f>
        <v>Malaysia Smelting Corporation (MSC)</v>
      </c>
      <c r="S48" s="215" t="str">
        <f t="shared" ca="1" si="6"/>
        <v>MY</v>
      </c>
      <c r="T48" s="215" t="str">
        <f ca="1">IF(B48="","",IF(ISERROR(MATCH($J48,SorP!$B$1:$B$6230,0)),"",INDIRECT("'SorP'!$A$"&amp;MATCH($J48,SorP!$B$1:$B$6230,0))))</f>
        <v>MY-07</v>
      </c>
      <c r="U48" s="231"/>
      <c r="V48" s="262">
        <f>IF(C48="",NA(),IF(OR(C48="Smelter not listed",C48="Smelter not yet identified"),MATCH($B48&amp;$D48,'Smelter Look-up'!$J:$J,0),MATCH($B48&amp;$C48,'Smelter Look-up'!$J:$J,0)))</f>
        <v>457</v>
      </c>
      <c r="W48" s="263"/>
      <c r="X48" s="263">
        <f t="shared" si="7"/>
        <v>0</v>
      </c>
      <c r="Y48" s="263"/>
      <c r="Z48" s="263"/>
      <c r="AB48" s="265" t="str">
        <f t="shared" si="8"/>
        <v>TinMalaysia Smelting Corporation (MSC)</v>
      </c>
    </row>
    <row r="49" spans="1:28" s="264" customFormat="1" ht="51">
      <c r="A49" s="207" t="s">
        <v>1794</v>
      </c>
      <c r="B49" s="208" t="s">
        <v>1131</v>
      </c>
      <c r="C49" s="356" t="s">
        <v>2163</v>
      </c>
      <c r="D49" s="270"/>
      <c r="E49" s="208" t="s">
        <v>2456</v>
      </c>
      <c r="F49" s="208" t="s">
        <v>1794</v>
      </c>
      <c r="G49" s="208" t="s">
        <v>13320</v>
      </c>
      <c r="H49" s="357">
        <v>0</v>
      </c>
      <c r="I49" s="358" t="s">
        <v>1795</v>
      </c>
      <c r="J49" s="358" t="s">
        <v>1642</v>
      </c>
      <c r="K49" s="359" t="s">
        <v>15728</v>
      </c>
      <c r="L49" s="359" t="s">
        <v>15729</v>
      </c>
      <c r="M49" s="359" t="s">
        <v>15708</v>
      </c>
      <c r="N49" s="359" t="s">
        <v>15709</v>
      </c>
      <c r="O49" s="359" t="s">
        <v>15709</v>
      </c>
      <c r="P49" s="360" t="s">
        <v>489</v>
      </c>
      <c r="Q49" s="361" t="s">
        <v>15730</v>
      </c>
      <c r="R49" s="208" t="str">
        <f ca="1">IF(ISERROR($V49),"",OFFSET('Smelter Look-up'!$C$4,$V49-4,0)&amp;"")</f>
        <v>Metallic Resources, Inc.</v>
      </c>
      <c r="S49" s="215" t="str">
        <f t="shared" ca="1" si="6"/>
        <v>US</v>
      </c>
      <c r="T49" s="215" t="str">
        <f ca="1">IF(B49="","",IF(ISERROR(MATCH($J49,SorP!$B$1:$B$6230,0)),"",INDIRECT("'SorP'!$A$"&amp;MATCH($J49,SorP!$B$1:$B$6230,0))))</f>
        <v>US-OH</v>
      </c>
      <c r="U49" s="231"/>
      <c r="V49" s="262">
        <f>IF(C49="",NA(),IF(OR(C49="Smelter not listed",C49="Smelter not yet identified"),MATCH($B49&amp;$D49,'Smelter Look-up'!$J:$J,0),MATCH($B49&amp;$C49,'Smelter Look-up'!$J:$J,0)))</f>
        <v>461</v>
      </c>
      <c r="W49" s="263"/>
      <c r="X49" s="263">
        <f t="shared" si="7"/>
        <v>0</v>
      </c>
      <c r="Y49" s="263"/>
      <c r="Z49" s="263"/>
      <c r="AB49" s="265" t="str">
        <f t="shared" si="8"/>
        <v>TinMetallic Resources, Inc.</v>
      </c>
    </row>
    <row r="50" spans="1:28" s="264" customFormat="1" ht="51">
      <c r="A50" s="207" t="s">
        <v>1829</v>
      </c>
      <c r="B50" s="208" t="s">
        <v>1131</v>
      </c>
      <c r="C50" s="356" t="s">
        <v>13012</v>
      </c>
      <c r="D50" s="270"/>
      <c r="E50" s="208" t="s">
        <v>1095</v>
      </c>
      <c r="F50" s="208" t="s">
        <v>1829</v>
      </c>
      <c r="G50" s="208" t="s">
        <v>13320</v>
      </c>
      <c r="H50" s="357">
        <v>0</v>
      </c>
      <c r="I50" s="358" t="s">
        <v>1830</v>
      </c>
      <c r="J50" s="358" t="s">
        <v>3177</v>
      </c>
      <c r="K50" s="359" t="s">
        <v>15731</v>
      </c>
      <c r="L50" s="359" t="s">
        <v>15732</v>
      </c>
      <c r="M50" s="359" t="s">
        <v>15708</v>
      </c>
      <c r="N50" s="359" t="s">
        <v>15709</v>
      </c>
      <c r="O50" s="359" t="s">
        <v>15709</v>
      </c>
      <c r="P50" s="360" t="s">
        <v>488</v>
      </c>
      <c r="Q50" s="361" t="s">
        <v>15733</v>
      </c>
      <c r="R50" s="208" t="str">
        <f ca="1">IF(ISERROR($V50),"",OFFSET('Smelter Look-up'!$C$4,$V50-4,0)&amp;"")</f>
        <v>Metallo Belgium N.V.</v>
      </c>
      <c r="S50" s="215" t="str">
        <f t="shared" ca="1" si="6"/>
        <v>BE</v>
      </c>
      <c r="T50" s="215" t="str">
        <f ca="1">IF(B50="","",IF(ISERROR(MATCH($J50,SorP!$B$1:$B$6230,0)),"",INDIRECT("'SorP'!$A$"&amp;MATCH($J50,SorP!$B$1:$B$6230,0))))</f>
        <v>BE-VAN</v>
      </c>
      <c r="U50" s="231"/>
      <c r="V50" s="262">
        <f>IF(C50="",NA(),IF(OR(C50="Smelter not listed",C50="Smelter not yet identified"),MATCH($B50&amp;$D50,'Smelter Look-up'!$J:$J,0),MATCH($B50&amp;$C50,'Smelter Look-up'!$J:$J,0)))</f>
        <v>462</v>
      </c>
      <c r="W50" s="263"/>
      <c r="X50" s="263">
        <f t="shared" si="7"/>
        <v>0</v>
      </c>
      <c r="Y50" s="263"/>
      <c r="Z50" s="263"/>
      <c r="AB50" s="265" t="str">
        <f t="shared" si="8"/>
        <v>TinMetallo Belgium N.V.</v>
      </c>
    </row>
    <row r="51" spans="1:28" s="264" customFormat="1" ht="51">
      <c r="A51" s="207" t="s">
        <v>775</v>
      </c>
      <c r="B51" s="208" t="s">
        <v>1131</v>
      </c>
      <c r="C51" s="356" t="s">
        <v>12509</v>
      </c>
      <c r="D51" s="270"/>
      <c r="E51" s="208" t="s">
        <v>1096</v>
      </c>
      <c r="F51" s="208" t="s">
        <v>775</v>
      </c>
      <c r="G51" s="208" t="s">
        <v>13320</v>
      </c>
      <c r="H51" s="357">
        <v>0</v>
      </c>
      <c r="I51" s="358" t="s">
        <v>1796</v>
      </c>
      <c r="J51" s="358" t="s">
        <v>1682</v>
      </c>
      <c r="K51" s="359"/>
      <c r="L51" s="359"/>
      <c r="M51" s="359"/>
      <c r="N51" s="359"/>
      <c r="O51" s="359"/>
      <c r="P51" s="360"/>
      <c r="Q51" s="361"/>
      <c r="R51" s="208" t="str">
        <f ca="1">IF(ISERROR($V51),"",OFFSET('Smelter Look-up'!$C$4,$V51-4,0)&amp;"")</f>
        <v>Mineracao Taboca S.A.</v>
      </c>
      <c r="S51" s="215" t="str">
        <f t="shared" ca="1" si="6"/>
        <v>BR</v>
      </c>
      <c r="T51" s="215" t="str">
        <f ca="1">IF(B51="","",IF(ISERROR(MATCH($J51,SorP!$B$1:$B$6230,0)),"",INDIRECT("'SorP'!$A$"&amp;MATCH($J51,SorP!$B$1:$B$6230,0))))</f>
        <v>BR-SP</v>
      </c>
      <c r="U51" s="231"/>
      <c r="V51" s="262">
        <f>IF(C51="",NA(),IF(OR(C51="Smelter not listed",C51="Smelter not yet identified"),MATCH($B51&amp;$D51,'Smelter Look-up'!$J:$J,0),MATCH($B51&amp;$C51,'Smelter Look-up'!$J:$J,0)))</f>
        <v>464</v>
      </c>
      <c r="W51" s="263"/>
      <c r="X51" s="263">
        <f t="shared" si="7"/>
        <v>0</v>
      </c>
      <c r="Y51" s="263"/>
      <c r="Z51" s="263"/>
      <c r="AB51" s="265" t="str">
        <f t="shared" si="8"/>
        <v>TinMineracao Taboca S.A.</v>
      </c>
    </row>
    <row r="52" spans="1:28" s="264" customFormat="1" ht="25.5">
      <c r="A52" s="207" t="s">
        <v>776</v>
      </c>
      <c r="B52" s="208" t="s">
        <v>1131</v>
      </c>
      <c r="C52" s="356" t="s">
        <v>1034</v>
      </c>
      <c r="D52" s="270"/>
      <c r="E52" s="208" t="s">
        <v>880</v>
      </c>
      <c r="F52" s="208" t="s">
        <v>776</v>
      </c>
      <c r="G52" s="208" t="s">
        <v>13320</v>
      </c>
      <c r="H52" s="357">
        <v>0</v>
      </c>
      <c r="I52" s="358" t="s">
        <v>1798</v>
      </c>
      <c r="J52" s="358" t="s">
        <v>9194</v>
      </c>
      <c r="K52" s="359" t="s">
        <v>15734</v>
      </c>
      <c r="L52" s="359" t="s">
        <v>15735</v>
      </c>
      <c r="M52" s="359"/>
      <c r="N52" s="359" t="s">
        <v>15736</v>
      </c>
      <c r="O52" s="359" t="s">
        <v>15737</v>
      </c>
      <c r="P52" s="360" t="s">
        <v>489</v>
      </c>
      <c r="Q52" s="361"/>
      <c r="R52" s="208" t="str">
        <f ca="1">IF(ISERROR($V52),"",OFFSET('Smelter Look-up'!$C$4,$V52-4,0)&amp;"")</f>
        <v>Minsur</v>
      </c>
      <c r="S52" s="215" t="str">
        <f t="shared" ca="1" si="6"/>
        <v>PE</v>
      </c>
      <c r="T52" s="215" t="str">
        <f ca="1">IF(B52="","",IF(ISERROR(MATCH($J52,SorP!$B$1:$B$6230,0)),"",INDIRECT("'SorP'!$A$"&amp;MATCH($J52,SorP!$B$1:$B$6230,0))))</f>
        <v>PE-ICA</v>
      </c>
      <c r="U52" s="231"/>
      <c r="V52" s="262">
        <f>IF(C52="",NA(),IF(OR(C52="Smelter not listed",C52="Smelter not yet identified"),MATCH($B52&amp;$D52,'Smelter Look-up'!$J:$J,0),MATCH($B52&amp;$C52,'Smelter Look-up'!$J:$J,0)))</f>
        <v>468</v>
      </c>
      <c r="W52" s="263"/>
      <c r="X52" s="263">
        <f t="shared" si="7"/>
        <v>0</v>
      </c>
      <c r="Y52" s="263"/>
      <c r="Z52" s="263"/>
      <c r="AB52" s="265" t="str">
        <f t="shared" si="8"/>
        <v>TinMinsur</v>
      </c>
    </row>
    <row r="53" spans="1:28" s="264" customFormat="1" ht="76.5">
      <c r="A53" s="207" t="s">
        <v>777</v>
      </c>
      <c r="B53" s="208" t="s">
        <v>1131</v>
      </c>
      <c r="C53" s="356" t="s">
        <v>1164</v>
      </c>
      <c r="D53" s="270"/>
      <c r="E53" s="208" t="s">
        <v>1108</v>
      </c>
      <c r="F53" s="208" t="s">
        <v>777</v>
      </c>
      <c r="G53" s="208" t="s">
        <v>13320</v>
      </c>
      <c r="H53" s="357">
        <v>0</v>
      </c>
      <c r="I53" s="358" t="s">
        <v>15738</v>
      </c>
      <c r="J53" s="358" t="s">
        <v>1558</v>
      </c>
      <c r="K53" s="359"/>
      <c r="L53" s="359"/>
      <c r="M53" s="359" t="s">
        <v>15708</v>
      </c>
      <c r="N53" s="359" t="s">
        <v>15709</v>
      </c>
      <c r="O53" s="359" t="s">
        <v>15709</v>
      </c>
      <c r="P53" s="360" t="s">
        <v>488</v>
      </c>
      <c r="Q53" s="361" t="s">
        <v>15739</v>
      </c>
      <c r="R53" s="208" t="str">
        <f ca="1">IF(ISERROR($V53),"",OFFSET('Smelter Look-up'!$C$4,$V53-4,0)&amp;"")</f>
        <v>Mitsubishi Materials Corporation</v>
      </c>
      <c r="S53" s="215" t="str">
        <f t="shared" ca="1" si="6"/>
        <v>JP</v>
      </c>
      <c r="T53" s="215" t="str">
        <f ca="1">IF(B53="","",IF(ISERROR(MATCH($J53,SorP!$B$1:$B$6230,0)),"",INDIRECT("'SorP'!$A$"&amp;MATCH($J53,SorP!$B$1:$B$6230,0))))</f>
        <v>JP-28</v>
      </c>
      <c r="U53" s="231"/>
      <c r="V53" s="262">
        <f>IF(C53="",NA(),IF(OR(C53="Smelter not listed",C53="Smelter not yet identified"),MATCH($B53&amp;$D53,'Smelter Look-up'!$J:$J,0),MATCH($B53&amp;$C53,'Smelter Look-up'!$J:$J,0)))</f>
        <v>469</v>
      </c>
      <c r="W53" s="263"/>
      <c r="X53" s="263">
        <f t="shared" si="7"/>
        <v>0</v>
      </c>
      <c r="Y53" s="263"/>
      <c r="Z53" s="263"/>
      <c r="AB53" s="265" t="str">
        <f t="shared" si="8"/>
        <v>TinMitsubishi Materials Corporation</v>
      </c>
    </row>
    <row r="54" spans="1:28" s="264" customFormat="1" ht="63.75">
      <c r="A54" s="207" t="s">
        <v>1402</v>
      </c>
      <c r="B54" s="208" t="s">
        <v>1131</v>
      </c>
      <c r="C54" s="356" t="s">
        <v>1401</v>
      </c>
      <c r="D54" s="270"/>
      <c r="E54" s="208" t="s">
        <v>881</v>
      </c>
      <c r="F54" s="208" t="s">
        <v>1402</v>
      </c>
      <c r="G54" s="208" t="s">
        <v>13320</v>
      </c>
      <c r="H54" s="357">
        <v>0</v>
      </c>
      <c r="I54" s="358" t="s">
        <v>13022</v>
      </c>
      <c r="J54" s="358" t="s">
        <v>9530</v>
      </c>
      <c r="K54" s="359" t="s">
        <v>15740</v>
      </c>
      <c r="L54" s="359" t="s">
        <v>15741</v>
      </c>
      <c r="M54" s="359"/>
      <c r="N54" s="359" t="s">
        <v>15742</v>
      </c>
      <c r="O54" s="359" t="s">
        <v>15742</v>
      </c>
      <c r="P54" s="360" t="s">
        <v>488</v>
      </c>
      <c r="Q54" s="361"/>
      <c r="R54" s="208" t="str">
        <f ca="1">IF(ISERROR($V54),"",OFFSET('Smelter Look-up'!$C$4,$V54-4,0)&amp;"")</f>
        <v>O.M. Manufacturing Philippines, Inc.</v>
      </c>
      <c r="S54" s="215" t="str">
        <f t="shared" ca="1" si="6"/>
        <v>PH</v>
      </c>
      <c r="T54" s="215" t="str">
        <f ca="1">IF(B54="","",IF(ISERROR(MATCH($J54,SorP!$B$1:$B$6230,0)),"",INDIRECT("'SorP'!$A$"&amp;MATCH($J54,SorP!$B$1:$B$6230,0))))</f>
        <v>PH-CAV</v>
      </c>
      <c r="U54" s="231"/>
      <c r="V54" s="262">
        <f>IF(C54="",NA(),IF(OR(C54="Smelter not listed",C54="Smelter not yet identified"),MATCH($B54&amp;$D54,'Smelter Look-up'!$J:$J,0),MATCH($B54&amp;$C54,'Smelter Look-up'!$J:$J,0)))</f>
        <v>477</v>
      </c>
      <c r="W54" s="263"/>
      <c r="X54" s="263">
        <f t="shared" si="7"/>
        <v>0</v>
      </c>
      <c r="Y54" s="263"/>
      <c r="Z54" s="263"/>
      <c r="AB54" s="265" t="str">
        <f t="shared" si="8"/>
        <v>TinO.M. Manufacturing Philippines, Inc.</v>
      </c>
    </row>
    <row r="55" spans="1:28" s="264" customFormat="1" ht="63.75">
      <c r="A55" s="207" t="s">
        <v>780</v>
      </c>
      <c r="B55" s="208" t="s">
        <v>1131</v>
      </c>
      <c r="C55" s="356" t="s">
        <v>13885</v>
      </c>
      <c r="D55" s="270"/>
      <c r="E55" s="208" t="s">
        <v>2454</v>
      </c>
      <c r="F55" s="208" t="s">
        <v>780</v>
      </c>
      <c r="G55" s="208" t="s">
        <v>13320</v>
      </c>
      <c r="H55" s="357">
        <v>0</v>
      </c>
      <c r="I55" s="358" t="s">
        <v>1781</v>
      </c>
      <c r="J55" s="358" t="s">
        <v>1781</v>
      </c>
      <c r="K55" s="359"/>
      <c r="L55" s="359"/>
      <c r="M55" s="359"/>
      <c r="N55" s="359"/>
      <c r="O55" s="359"/>
      <c r="P55" s="360"/>
      <c r="Q55" s="361"/>
      <c r="R55" s="208" t="str">
        <f ca="1">IF(ISERROR($V55),"",OFFSET('Smelter Look-up'!$C$4,$V55-4,0)&amp;"")</f>
        <v>Operaciones Metalurgicas S.A.</v>
      </c>
      <c r="S55" s="215" t="str">
        <f t="shared" ca="1" si="6"/>
        <v>BO</v>
      </c>
      <c r="T55" s="215" t="str">
        <f ca="1">IF(B55="","",IF(ISERROR(MATCH($J55,SorP!$B$1:$B$6230,0)),"",INDIRECT("'SorP'!$A$"&amp;MATCH($J55,SorP!$B$1:$B$6230,0))))</f>
        <v>BO-O</v>
      </c>
      <c r="U55" s="231"/>
      <c r="V55" s="262">
        <f>IF(C55="",NA(),IF(OR(C55="Smelter not listed",C55="Smelter not yet identified"),MATCH($B55&amp;$D55,'Smelter Look-up'!$J:$J,0),MATCH($B55&amp;$C55,'Smelter Look-up'!$J:$J,0)))</f>
        <v>479</v>
      </c>
      <c r="W55" s="263"/>
      <c r="X55" s="263">
        <f t="shared" si="7"/>
        <v>0</v>
      </c>
      <c r="Y55" s="263"/>
      <c r="Z55" s="263"/>
      <c r="AB55" s="265" t="str">
        <f t="shared" si="8"/>
        <v>TinOperaciones Metalurgicas S.A.</v>
      </c>
    </row>
    <row r="56" spans="1:28" s="264" customFormat="1" ht="63.75">
      <c r="A56" s="207" t="s">
        <v>781</v>
      </c>
      <c r="B56" s="208" t="s">
        <v>1131</v>
      </c>
      <c r="C56" s="356" t="s">
        <v>844</v>
      </c>
      <c r="D56" s="270"/>
      <c r="E56" s="208" t="s">
        <v>1105</v>
      </c>
      <c r="F56" s="208" t="s">
        <v>781</v>
      </c>
      <c r="G56" s="208" t="s">
        <v>13320</v>
      </c>
      <c r="H56" s="357">
        <v>0</v>
      </c>
      <c r="I56" s="358" t="s">
        <v>1779</v>
      </c>
      <c r="J56" s="358" t="s">
        <v>12931</v>
      </c>
      <c r="K56" s="359"/>
      <c r="L56" s="359"/>
      <c r="M56" s="359"/>
      <c r="N56" s="359"/>
      <c r="O56" s="359"/>
      <c r="P56" s="360"/>
      <c r="Q56" s="361"/>
      <c r="R56" s="208" t="str">
        <f ca="1">IF(ISERROR($V56),"",OFFSET('Smelter Look-up'!$C$4,$V56-4,0)&amp;"")</f>
        <v>PT Artha Cipta Langgeng</v>
      </c>
      <c r="S56" s="215" t="str">
        <f t="shared" ca="1" si="6"/>
        <v>ID</v>
      </c>
      <c r="T56" s="215" t="str">
        <f ca="1">IF(B56="","",IF(ISERROR(MATCH($J56,SorP!$B$1:$B$6230,0)),"",INDIRECT("'SorP'!$A$"&amp;MATCH($J56,SorP!$B$1:$B$6230,0))))</f>
        <v>ID-BB</v>
      </c>
      <c r="U56" s="231"/>
      <c r="V56" s="262">
        <f>IF(C56="",NA(),IF(OR(C56="Smelter not listed",C56="Smelter not yet identified"),MATCH($B56&amp;$D56,'Smelter Look-up'!$J:$J,0),MATCH($B56&amp;$C56,'Smelter Look-up'!$J:$J,0)))</f>
        <v>484</v>
      </c>
      <c r="W56" s="263"/>
      <c r="X56" s="263">
        <f t="shared" si="7"/>
        <v>0</v>
      </c>
      <c r="Y56" s="263"/>
      <c r="Z56" s="263"/>
      <c r="AB56" s="265" t="str">
        <f t="shared" si="8"/>
        <v>TinPT Artha Cipta Langgeng</v>
      </c>
    </row>
    <row r="57" spans="1:28" s="264" customFormat="1" ht="51">
      <c r="A57" s="207" t="s">
        <v>782</v>
      </c>
      <c r="B57" s="208" t="s">
        <v>1131</v>
      </c>
      <c r="C57" s="356" t="s">
        <v>627</v>
      </c>
      <c r="D57" s="270"/>
      <c r="E57" s="208" t="s">
        <v>1105</v>
      </c>
      <c r="F57" s="208" t="s">
        <v>782</v>
      </c>
      <c r="G57" s="208" t="s">
        <v>13320</v>
      </c>
      <c r="H57" s="357">
        <v>0</v>
      </c>
      <c r="I57" s="358" t="s">
        <v>1779</v>
      </c>
      <c r="J57" s="358" t="s">
        <v>12931</v>
      </c>
      <c r="K57" s="359" t="s">
        <v>15743</v>
      </c>
      <c r="L57" s="359" t="s">
        <v>15744</v>
      </c>
      <c r="M57" s="359" t="s">
        <v>15708</v>
      </c>
      <c r="N57" s="359" t="s">
        <v>15745</v>
      </c>
      <c r="O57" s="359" t="s">
        <v>15746</v>
      </c>
      <c r="P57" s="360" t="s">
        <v>489</v>
      </c>
      <c r="Q57" s="361"/>
      <c r="R57" s="208" t="str">
        <f ca="1">IF(ISERROR($V57),"",OFFSET('Smelter Look-up'!$C$4,$V57-4,0)&amp;"")</f>
        <v>PT Mitra Stania Prima</v>
      </c>
      <c r="S57" s="215" t="str">
        <f t="shared" ca="1" si="6"/>
        <v>ID</v>
      </c>
      <c r="T57" s="215" t="str">
        <f ca="1">IF(B57="","",IF(ISERROR(MATCH($J57,SorP!$B$1:$B$6230,0)),"",INDIRECT("'SorP'!$A$"&amp;MATCH($J57,SorP!$B$1:$B$6230,0))))</f>
        <v>ID-BB</v>
      </c>
      <c r="U57" s="231"/>
      <c r="V57" s="262">
        <f>IF(C57="",NA(),IF(OR(C57="Smelter not listed",C57="Smelter not yet identified"),MATCH($B57&amp;$D57,'Smelter Look-up'!$J:$J,0),MATCH($B57&amp;$C57,'Smelter Look-up'!$J:$J,0)))</f>
        <v>496</v>
      </c>
      <c r="W57" s="263"/>
      <c r="X57" s="263">
        <f t="shared" si="7"/>
        <v>0</v>
      </c>
      <c r="Y57" s="263"/>
      <c r="Z57" s="263"/>
      <c r="AB57" s="265" t="str">
        <f t="shared" si="8"/>
        <v>TinPT Mitra Stania Prima</v>
      </c>
    </row>
    <row r="58" spans="1:28" s="264" customFormat="1" ht="51">
      <c r="A58" s="207" t="s">
        <v>783</v>
      </c>
      <c r="B58" s="208" t="s">
        <v>1131</v>
      </c>
      <c r="C58" s="356" t="s">
        <v>2171</v>
      </c>
      <c r="D58" s="270"/>
      <c r="E58" s="208" t="s">
        <v>1105</v>
      </c>
      <c r="F58" s="208" t="s">
        <v>783</v>
      </c>
      <c r="G58" s="208" t="s">
        <v>13320</v>
      </c>
      <c r="H58" s="357">
        <v>0</v>
      </c>
      <c r="I58" s="358" t="s">
        <v>1779</v>
      </c>
      <c r="J58" s="358" t="s">
        <v>12931</v>
      </c>
      <c r="K58" s="359" t="s">
        <v>15747</v>
      </c>
      <c r="L58" s="359" t="s">
        <v>15748</v>
      </c>
      <c r="M58" s="359"/>
      <c r="N58" s="359" t="s">
        <v>15749</v>
      </c>
      <c r="O58" s="359" t="s">
        <v>15750</v>
      </c>
      <c r="P58" s="360" t="s">
        <v>489</v>
      </c>
      <c r="Q58" s="361"/>
      <c r="R58" s="208" t="str">
        <f ca="1">IF(ISERROR($V58),"",OFFSET('Smelter Look-up'!$C$4,$V58-4,0)&amp;"")</f>
        <v>PT Refined Bangka Tin</v>
      </c>
      <c r="S58" s="215" t="str">
        <f t="shared" ca="1" si="6"/>
        <v>ID</v>
      </c>
      <c r="T58" s="215" t="str">
        <f ca="1">IF(B58="","",IF(ISERROR(MATCH($J58,SorP!$B$1:$B$6230,0)),"",INDIRECT("'SorP'!$A$"&amp;MATCH($J58,SorP!$B$1:$B$6230,0))))</f>
        <v>ID-BB</v>
      </c>
      <c r="U58" s="231"/>
      <c r="V58" s="262">
        <f>IF(C58="",NA(),IF(OR(C58="Smelter not listed",C58="Smelter not yet identified"),MATCH($B58&amp;$D58,'Smelter Look-up'!$J:$J,0),MATCH($B58&amp;$C58,'Smelter Look-up'!$J:$J,0)))</f>
        <v>502</v>
      </c>
      <c r="W58" s="263"/>
      <c r="X58" s="263">
        <f t="shared" si="7"/>
        <v>0</v>
      </c>
      <c r="Y58" s="263"/>
      <c r="Z58" s="263"/>
      <c r="AB58" s="265" t="str">
        <f t="shared" si="8"/>
        <v>TinPT Refined Bangka Tin</v>
      </c>
    </row>
    <row r="59" spans="1:28" s="264" customFormat="1" ht="51">
      <c r="A59" s="207" t="s">
        <v>804</v>
      </c>
      <c r="B59" s="208" t="s">
        <v>1131</v>
      </c>
      <c r="C59" s="356" t="s">
        <v>13882</v>
      </c>
      <c r="D59" s="270"/>
      <c r="E59" s="208" t="s">
        <v>1105</v>
      </c>
      <c r="F59" s="208" t="s">
        <v>804</v>
      </c>
      <c r="G59" s="208" t="s">
        <v>13320</v>
      </c>
      <c r="H59" s="357">
        <v>0</v>
      </c>
      <c r="I59" s="358" t="s">
        <v>1805</v>
      </c>
      <c r="J59" s="358" t="s">
        <v>6100</v>
      </c>
      <c r="K59" s="359" t="s">
        <v>15751</v>
      </c>
      <c r="L59" s="359" t="s">
        <v>15752</v>
      </c>
      <c r="M59" s="359" t="s">
        <v>15753</v>
      </c>
      <c r="N59" s="359" t="s">
        <v>15749</v>
      </c>
      <c r="O59" s="359" t="s">
        <v>15750</v>
      </c>
      <c r="P59" s="360" t="s">
        <v>489</v>
      </c>
      <c r="Q59" s="361"/>
      <c r="R59" s="208" t="str">
        <f ca="1">IF(ISERROR($V59),"",OFFSET('Smelter Look-up'!$C$4,$V59-4,0)&amp;"")</f>
        <v>PT Timah Tbk Kundur</v>
      </c>
      <c r="S59" s="215" t="str">
        <f t="shared" ca="1" si="6"/>
        <v>ID</v>
      </c>
      <c r="T59" s="215" t="str">
        <f ca="1">IF(B59="","",IF(ISERROR(MATCH($J59,SorP!$B$1:$B$6230,0)),"",INDIRECT("'SorP'!$A$"&amp;MATCH($J59,SorP!$B$1:$B$6230,0))))</f>
        <v>ID-RI</v>
      </c>
      <c r="U59" s="231"/>
      <c r="V59" s="262">
        <f>IF(C59="",NA(),IF(OR(C59="Smelter not listed",C59="Smelter not yet identified"),MATCH($B59&amp;$D59,'Smelter Look-up'!$J:$J,0),MATCH($B59&amp;$C59,'Smelter Look-up'!$J:$J,0)))</f>
        <v>508</v>
      </c>
      <c r="W59" s="263"/>
      <c r="X59" s="263">
        <f t="shared" si="7"/>
        <v>0</v>
      </c>
      <c r="Y59" s="263"/>
      <c r="Z59" s="263"/>
      <c r="AB59" s="265" t="str">
        <f t="shared" si="8"/>
        <v>TinPT Timah Tbk Kundur</v>
      </c>
    </row>
    <row r="60" spans="1:28" s="264" customFormat="1" ht="51">
      <c r="A60" s="207" t="s">
        <v>784</v>
      </c>
      <c r="B60" s="208" t="s">
        <v>1131</v>
      </c>
      <c r="C60" s="356" t="s">
        <v>13881</v>
      </c>
      <c r="D60" s="270"/>
      <c r="E60" s="208" t="s">
        <v>1105</v>
      </c>
      <c r="F60" s="208" t="s">
        <v>784</v>
      </c>
      <c r="G60" s="208" t="s">
        <v>13320</v>
      </c>
      <c r="H60" s="357">
        <v>0</v>
      </c>
      <c r="I60" s="358" t="s">
        <v>1807</v>
      </c>
      <c r="J60" s="358" t="s">
        <v>12931</v>
      </c>
      <c r="K60" s="359" t="s">
        <v>15754</v>
      </c>
      <c r="L60" s="359" t="s">
        <v>15755</v>
      </c>
      <c r="M60" s="359" t="s">
        <v>15753</v>
      </c>
      <c r="N60" s="359" t="s">
        <v>15750</v>
      </c>
      <c r="O60" s="359" t="s">
        <v>15750</v>
      </c>
      <c r="P60" s="360" t="s">
        <v>489</v>
      </c>
      <c r="Q60" s="361"/>
      <c r="R60" s="208" t="str">
        <f ca="1">IF(ISERROR($V60),"",OFFSET('Smelter Look-up'!$C$4,$V60-4,0)&amp;"")</f>
        <v>PT Timah Tbk Mentok</v>
      </c>
      <c r="S60" s="215" t="str">
        <f t="shared" ca="1" si="6"/>
        <v>ID</v>
      </c>
      <c r="T60" s="215" t="str">
        <f ca="1">IF(B60="","",IF(ISERROR(MATCH($J60,SorP!$B$1:$B$6230,0)),"",INDIRECT("'SorP'!$A$"&amp;MATCH($J60,SorP!$B$1:$B$6230,0))))</f>
        <v>ID-BB</v>
      </c>
      <c r="U60" s="231"/>
      <c r="V60" s="262">
        <f>IF(C60="",NA(),IF(OR(C60="Smelter not listed",C60="Smelter not yet identified"),MATCH($B60&amp;$D60,'Smelter Look-up'!$J:$J,0),MATCH($B60&amp;$C60,'Smelter Look-up'!$J:$J,0)))</f>
        <v>509</v>
      </c>
      <c r="W60" s="263"/>
      <c r="X60" s="263">
        <f t="shared" si="7"/>
        <v>0</v>
      </c>
      <c r="Y60" s="263"/>
      <c r="Z60" s="263"/>
      <c r="AB60" s="265" t="str">
        <f t="shared" si="8"/>
        <v>TinPT Timah Tbk Mentok</v>
      </c>
    </row>
    <row r="61" spans="1:28" s="264" customFormat="1" ht="25.5">
      <c r="A61" s="207" t="s">
        <v>786</v>
      </c>
      <c r="B61" s="208" t="s">
        <v>1131</v>
      </c>
      <c r="C61" s="356" t="s">
        <v>785</v>
      </c>
      <c r="D61" s="270"/>
      <c r="E61" s="208" t="s">
        <v>2455</v>
      </c>
      <c r="F61" s="208" t="s">
        <v>786</v>
      </c>
      <c r="G61" s="208" t="s">
        <v>13320</v>
      </c>
      <c r="H61" s="357">
        <v>0</v>
      </c>
      <c r="I61" s="358" t="s">
        <v>13915</v>
      </c>
      <c r="J61" s="358" t="s">
        <v>1710</v>
      </c>
      <c r="K61" s="359" t="s">
        <v>15756</v>
      </c>
      <c r="L61" s="359" t="s">
        <v>15757</v>
      </c>
      <c r="M61" s="359"/>
      <c r="N61" s="359" t="s">
        <v>15758</v>
      </c>
      <c r="O61" s="359" t="s">
        <v>15758</v>
      </c>
      <c r="P61" s="360" t="s">
        <v>489</v>
      </c>
      <c r="Q61" s="361"/>
      <c r="R61" s="208" t="str">
        <f ca="1">IF(ISERROR($V61),"",OFFSET('Smelter Look-up'!$C$4,$V61-4,0)&amp;"")</f>
        <v>Rui Da Hung</v>
      </c>
      <c r="S61" s="215" t="str">
        <f t="shared" ca="1" si="6"/>
        <v>TW</v>
      </c>
      <c r="T61" s="215" t="str">
        <f ca="1">IF(B61="","",IF(ISERROR(MATCH($J61,SorP!$B$1:$B$6230,0)),"",INDIRECT("'SorP'!$A$"&amp;MATCH($J61,SorP!$B$1:$B$6230,0))))</f>
        <v>TW-TAO</v>
      </c>
      <c r="U61" s="231"/>
      <c r="V61" s="262">
        <f>IF(C61="",NA(),IF(OR(C61="Smelter not listed",C61="Smelter not yet identified"),MATCH($B61&amp;$D61,'Smelter Look-up'!$J:$J,0),MATCH($B61&amp;$C61,'Smelter Look-up'!$J:$J,0)))</f>
        <v>516</v>
      </c>
      <c r="W61" s="263"/>
      <c r="X61" s="263">
        <f t="shared" si="7"/>
        <v>0</v>
      </c>
      <c r="Y61" s="263"/>
      <c r="Z61" s="263"/>
      <c r="AB61" s="265" t="str">
        <f t="shared" si="8"/>
        <v>TinRui Da Hung</v>
      </c>
    </row>
    <row r="62" spans="1:28" s="264" customFormat="1" ht="38.25">
      <c r="A62" s="207" t="s">
        <v>788</v>
      </c>
      <c r="B62" s="208" t="s">
        <v>1131</v>
      </c>
      <c r="C62" s="356" t="s">
        <v>1031</v>
      </c>
      <c r="D62" s="270"/>
      <c r="E62" s="208" t="s">
        <v>888</v>
      </c>
      <c r="F62" s="208" t="s">
        <v>788</v>
      </c>
      <c r="G62" s="208" t="s">
        <v>13320</v>
      </c>
      <c r="H62" s="357">
        <v>0</v>
      </c>
      <c r="I62" s="358" t="s">
        <v>1809</v>
      </c>
      <c r="J62" s="358" t="s">
        <v>1810</v>
      </c>
      <c r="K62" s="359" t="s">
        <v>15759</v>
      </c>
      <c r="L62" s="359" t="s">
        <v>15760</v>
      </c>
      <c r="M62" s="359" t="s">
        <v>15753</v>
      </c>
      <c r="N62" s="359" t="s">
        <v>15761</v>
      </c>
      <c r="O62" s="359" t="s">
        <v>15762</v>
      </c>
      <c r="P62" s="360" t="s">
        <v>489</v>
      </c>
      <c r="Q62" s="361"/>
      <c r="R62" s="208" t="str">
        <f ca="1">IF(ISERROR($V62),"",OFFSET('Smelter Look-up'!$C$4,$V62-4,0)&amp;"")</f>
        <v>Thaisarco</v>
      </c>
      <c r="S62" s="215" t="str">
        <f t="shared" ca="1" si="6"/>
        <v>TH</v>
      </c>
      <c r="T62" s="215" t="str">
        <f ca="1">IF(B62="","",IF(ISERROR(MATCH($J62,SorP!$B$1:$B$6230,0)),"",INDIRECT("'SorP'!$A$"&amp;MATCH($J62,SorP!$B$1:$B$6230,0))))</f>
        <v>TH-83</v>
      </c>
      <c r="U62" s="231"/>
      <c r="V62" s="262">
        <f>IF(C62="",NA(),IF(OR(C62="Smelter not listed",C62="Smelter not yet identified"),MATCH($B62&amp;$D62,'Smelter Look-up'!$J:$J,0),MATCH($B62&amp;$C62,'Smelter Look-up'!$J:$J,0)))</f>
        <v>523</v>
      </c>
      <c r="W62" s="263"/>
      <c r="X62" s="263">
        <f t="shared" si="7"/>
        <v>0</v>
      </c>
      <c r="Y62" s="263"/>
      <c r="Z62" s="263"/>
      <c r="AB62" s="265" t="str">
        <f t="shared" si="8"/>
        <v>TinThaisarco</v>
      </c>
    </row>
    <row r="63" spans="1:28" s="264" customFormat="1" ht="51">
      <c r="A63" s="207" t="s">
        <v>13264</v>
      </c>
      <c r="B63" s="208" t="s">
        <v>1131</v>
      </c>
      <c r="C63" s="356" t="s">
        <v>13263</v>
      </c>
      <c r="D63" s="270"/>
      <c r="E63" s="208" t="s">
        <v>2456</v>
      </c>
      <c r="F63" s="208" t="s">
        <v>13264</v>
      </c>
      <c r="G63" s="208" t="s">
        <v>13320</v>
      </c>
      <c r="H63" s="357">
        <v>0</v>
      </c>
      <c r="I63" s="358" t="s">
        <v>13265</v>
      </c>
      <c r="J63" s="358" t="s">
        <v>1748</v>
      </c>
      <c r="K63" s="359"/>
      <c r="L63" s="359"/>
      <c r="M63" s="359"/>
      <c r="N63" s="359"/>
      <c r="O63" s="359"/>
      <c r="P63" s="360"/>
      <c r="Q63" s="361"/>
      <c r="R63" s="208" t="str">
        <f ca="1">IF(ISERROR($V63),"",OFFSET('Smelter Look-up'!$C$4,$V63-4,0)&amp;"")</f>
        <v>Tin Technology &amp; Refining</v>
      </c>
      <c r="S63" s="215" t="str">
        <f t="shared" ca="1" si="6"/>
        <v>US</v>
      </c>
      <c r="T63" s="215" t="str">
        <f ca="1">IF(B63="","",IF(ISERROR(MATCH($J63,SorP!$B$1:$B$6230,0)),"",INDIRECT("'SorP'!$A$"&amp;MATCH($J63,SorP!$B$1:$B$6230,0))))</f>
        <v>US-PA</v>
      </c>
      <c r="U63" s="231"/>
      <c r="V63" s="262">
        <f>IF(C63="",NA(),IF(OR(C63="Smelter not listed",C63="Smelter not yet identified"),MATCH($B63&amp;$D63,'Smelter Look-up'!$J:$J,0),MATCH($B63&amp;$C63,'Smelter Look-up'!$J:$J,0)))</f>
        <v>527</v>
      </c>
      <c r="W63" s="263"/>
      <c r="X63" s="263">
        <f t="shared" si="7"/>
        <v>0</v>
      </c>
      <c r="Y63" s="263"/>
      <c r="Z63" s="263"/>
      <c r="AB63" s="265" t="str">
        <f t="shared" si="8"/>
        <v>TinTin Technology &amp; Refining</v>
      </c>
    </row>
    <row r="64" spans="1:28" s="264" customFormat="1" ht="76.5">
      <c r="A64" s="207" t="s">
        <v>789</v>
      </c>
      <c r="B64" s="208" t="s">
        <v>1131</v>
      </c>
      <c r="C64" s="356" t="s">
        <v>2556</v>
      </c>
      <c r="D64" s="270"/>
      <c r="E64" s="208" t="s">
        <v>1096</v>
      </c>
      <c r="F64" s="208" t="s">
        <v>789</v>
      </c>
      <c r="G64" s="208" t="s">
        <v>13320</v>
      </c>
      <c r="H64" s="357">
        <v>0</v>
      </c>
      <c r="I64" s="358" t="s">
        <v>1778</v>
      </c>
      <c r="J64" s="358" t="s">
        <v>1782</v>
      </c>
      <c r="K64" s="359" t="s">
        <v>15763</v>
      </c>
      <c r="L64" s="359" t="s">
        <v>15764</v>
      </c>
      <c r="M64" s="359" t="s">
        <v>15708</v>
      </c>
      <c r="N64" s="359" t="s">
        <v>15765</v>
      </c>
      <c r="O64" s="359" t="s">
        <v>15683</v>
      </c>
      <c r="P64" s="360" t="s">
        <v>489</v>
      </c>
      <c r="Q64" s="361" t="s">
        <v>15766</v>
      </c>
      <c r="R64" s="208" t="str">
        <f ca="1">IF(ISERROR($V64),"",OFFSET('Smelter Look-up'!$C$4,$V64-4,0)&amp;"")</f>
        <v>White Solder Metalurgia e Mineracao Ltda.</v>
      </c>
      <c r="S64" s="215" t="str">
        <f t="shared" ca="1" si="6"/>
        <v>BR</v>
      </c>
      <c r="T64" s="215" t="str">
        <f ca="1">IF(B64="","",IF(ISERROR(MATCH($J64,SorP!$B$1:$B$6230,0)),"",INDIRECT("'SorP'!$A$"&amp;MATCH($J64,SorP!$B$1:$B$6230,0))))</f>
        <v>BR-RO</v>
      </c>
      <c r="U64" s="231"/>
      <c r="V64" s="262">
        <f>IF(C64="",NA(),IF(OR(C64="Smelter not listed",C64="Smelter not yet identified"),MATCH($B64&amp;$D64,'Smelter Look-up'!$J:$J,0),MATCH($B64&amp;$C64,'Smelter Look-up'!$J:$J,0)))</f>
        <v>532</v>
      </c>
      <c r="W64" s="263"/>
      <c r="X64" s="263">
        <f t="shared" si="7"/>
        <v>0</v>
      </c>
      <c r="Y64" s="263"/>
      <c r="Z64" s="263"/>
      <c r="AB64" s="265" t="str">
        <f t="shared" si="8"/>
        <v>TinWhite Solder Metalurgia e Mineracao Ltda.</v>
      </c>
    </row>
    <row r="65" spans="1:28" s="264" customFormat="1" ht="25.5">
      <c r="A65" s="207" t="s">
        <v>13862</v>
      </c>
      <c r="B65" s="208" t="s">
        <v>1130</v>
      </c>
      <c r="C65" s="356" t="s">
        <v>13861</v>
      </c>
      <c r="D65" s="270"/>
      <c r="E65" s="208" t="s">
        <v>1107</v>
      </c>
      <c r="F65" s="208" t="s">
        <v>13862</v>
      </c>
      <c r="G65" s="208" t="s">
        <v>13320</v>
      </c>
      <c r="H65" s="357">
        <v>0</v>
      </c>
      <c r="I65" s="358" t="s">
        <v>13909</v>
      </c>
      <c r="J65" s="358" t="s">
        <v>6474</v>
      </c>
      <c r="K65" s="359"/>
      <c r="L65" s="359"/>
      <c r="M65" s="359"/>
      <c r="N65" s="359" t="s">
        <v>15767</v>
      </c>
      <c r="O65" s="359" t="s">
        <v>15767</v>
      </c>
      <c r="P65" s="360" t="s">
        <v>490</v>
      </c>
      <c r="Q65" s="361" t="s">
        <v>15768</v>
      </c>
      <c r="R65" s="208" t="str">
        <f ca="1">IF(ISERROR($V65),"",OFFSET('Smelter Look-up'!$C$4,$V65-4,0)&amp;"")</f>
        <v>8853 S.p.A.</v>
      </c>
      <c r="S65" s="215" t="str">
        <f t="shared" ca="1" si="6"/>
        <v>IT</v>
      </c>
      <c r="T65" s="215" t="str">
        <f ca="1">IF(B65="","",IF(ISERROR(MATCH($J65,SorP!$B$1:$B$6230,0)),"",INDIRECT("'SorP'!$A$"&amp;MATCH($J65,SorP!$B$1:$B$6230,0))))</f>
        <v>IT-25</v>
      </c>
      <c r="U65" s="231"/>
      <c r="V65" s="262">
        <f>IF(C65="",NA(),IF(OR(C65="Smelter not listed",C65="Smelter not yet identified"),MATCH($B65&amp;$D65,'Smelter Look-up'!$J:$J,0),MATCH($B65&amp;$C65,'Smelter Look-up'!$J:$J,0)))</f>
        <v>5</v>
      </c>
      <c r="W65" s="263"/>
      <c r="X65" s="263">
        <f t="shared" si="7"/>
        <v>0</v>
      </c>
      <c r="Y65" s="263"/>
      <c r="Z65" s="263"/>
      <c r="AB65" s="265" t="str">
        <f t="shared" si="8"/>
        <v>Gold8853 S.p.A.</v>
      </c>
    </row>
    <row r="66" spans="1:28" s="264" customFormat="1" ht="76.5">
      <c r="A66" s="207" t="s">
        <v>1385</v>
      </c>
      <c r="B66" s="208" t="s">
        <v>1130</v>
      </c>
      <c r="C66" s="356" t="s">
        <v>1384</v>
      </c>
      <c r="D66" s="270"/>
      <c r="E66" s="208" t="s">
        <v>2456</v>
      </c>
      <c r="F66" s="208" t="s">
        <v>1385</v>
      </c>
      <c r="G66" s="208" t="s">
        <v>13320</v>
      </c>
      <c r="H66" s="357">
        <v>0</v>
      </c>
      <c r="I66" s="358" t="s">
        <v>1545</v>
      </c>
      <c r="J66" s="358" t="s">
        <v>1546</v>
      </c>
      <c r="K66" s="359"/>
      <c r="L66" s="359"/>
      <c r="M66" s="359"/>
      <c r="N66" s="359" t="s">
        <v>15769</v>
      </c>
      <c r="O66" s="359" t="s">
        <v>15769</v>
      </c>
      <c r="P66" s="360" t="s">
        <v>489</v>
      </c>
      <c r="Q66" s="361" t="s">
        <v>15768</v>
      </c>
      <c r="R66" s="208" t="str">
        <f ca="1">IF(ISERROR($V66),"",OFFSET('Smelter Look-up'!$C$4,$V66-4,0)&amp;"")</f>
        <v>Advanced Chemical Company</v>
      </c>
      <c r="S66" s="215" t="str">
        <f t="shared" ca="1" si="6"/>
        <v>US</v>
      </c>
      <c r="T66" s="215" t="str">
        <f ca="1">IF(B66="","",IF(ISERROR(MATCH($J66,SorP!$B$1:$B$6230,0)),"",INDIRECT("'SorP'!$A$"&amp;MATCH($J66,SorP!$B$1:$B$6230,0))))</f>
        <v>US-RI</v>
      </c>
      <c r="U66" s="231"/>
      <c r="V66" s="262">
        <f>IF(C66="",NA(),IF(OR(C66="Smelter not listed",C66="Smelter not yet identified"),MATCH($B66&amp;$D66,'Smelter Look-up'!$J:$J,0),MATCH($B66&amp;$C66,'Smelter Look-up'!$J:$J,0)))</f>
        <v>8</v>
      </c>
      <c r="W66" s="263"/>
      <c r="X66" s="263">
        <f t="shared" si="7"/>
        <v>0</v>
      </c>
      <c r="Y66" s="263"/>
      <c r="Z66" s="263"/>
      <c r="AB66" s="265" t="str">
        <f t="shared" si="8"/>
        <v>GoldAdvanced Chemical Company</v>
      </c>
    </row>
    <row r="67" spans="1:28" s="264" customFormat="1" ht="76.5">
      <c r="A67" s="207" t="s">
        <v>650</v>
      </c>
      <c r="B67" s="208" t="s">
        <v>1130</v>
      </c>
      <c r="C67" s="356" t="s">
        <v>2154</v>
      </c>
      <c r="D67" s="270"/>
      <c r="E67" s="208" t="s">
        <v>1108</v>
      </c>
      <c r="F67" s="208" t="s">
        <v>650</v>
      </c>
      <c r="G67" s="208" t="s">
        <v>13320</v>
      </c>
      <c r="H67" s="357">
        <v>0</v>
      </c>
      <c r="I67" s="358" t="s">
        <v>1547</v>
      </c>
      <c r="J67" s="358" t="s">
        <v>1548</v>
      </c>
      <c r="K67" s="359"/>
      <c r="L67" s="359"/>
      <c r="M67" s="359"/>
      <c r="N67" s="359" t="s">
        <v>15770</v>
      </c>
      <c r="O67" s="359" t="s">
        <v>15770</v>
      </c>
      <c r="P67" s="360" t="s">
        <v>488</v>
      </c>
      <c r="Q67" s="361" t="s">
        <v>15768</v>
      </c>
      <c r="R67" s="208" t="str">
        <f ca="1">IF(ISERROR($V67),"",OFFSET('Smelter Look-up'!$C$4,$V67-4,0)&amp;"")</f>
        <v>Aida Chemical Industries Co., Ltd.</v>
      </c>
      <c r="S67" s="215" t="str">
        <f t="shared" ca="1" si="6"/>
        <v>JP</v>
      </c>
      <c r="T67" s="215" t="str">
        <f ca="1">IF(B67="","",IF(ISERROR(MATCH($J67,SorP!$B$1:$B$6230,0)),"",INDIRECT("'SorP'!$A$"&amp;MATCH($J67,SorP!$B$1:$B$6230,0))))</f>
        <v>JP-13</v>
      </c>
      <c r="U67" s="231"/>
      <c r="V67" s="262">
        <f>IF(C67="",NA(),IF(OR(C67="Smelter not listed",C67="Smelter not yet identified"),MATCH($B67&amp;$D67,'Smelter Look-up'!$J:$J,0),MATCH($B67&amp;$C67,'Smelter Look-up'!$J:$J,0)))</f>
        <v>13</v>
      </c>
      <c r="W67" s="263"/>
      <c r="X67" s="263">
        <f t="shared" si="7"/>
        <v>0</v>
      </c>
      <c r="Y67" s="263"/>
      <c r="Z67" s="263"/>
      <c r="AB67" s="265" t="str">
        <f t="shared" si="8"/>
        <v>GoldAida Chemical Industries Co., Ltd.</v>
      </c>
    </row>
    <row r="68" spans="1:28" s="264" customFormat="1" ht="63.75">
      <c r="A68" s="207" t="s">
        <v>1712</v>
      </c>
      <c r="B68" s="208" t="s">
        <v>1130</v>
      </c>
      <c r="C68" s="356" t="s">
        <v>1711</v>
      </c>
      <c r="D68" s="270"/>
      <c r="E68" s="208" t="s">
        <v>1092</v>
      </c>
      <c r="F68" s="208" t="s">
        <v>1712</v>
      </c>
      <c r="G68" s="208" t="s">
        <v>13320</v>
      </c>
      <c r="H68" s="357">
        <v>0</v>
      </c>
      <c r="I68" s="358" t="s">
        <v>1713</v>
      </c>
      <c r="J68" s="358" t="s">
        <v>2597</v>
      </c>
      <c r="K68" s="359"/>
      <c r="L68" s="359"/>
      <c r="M68" s="359"/>
      <c r="N68" s="359" t="s">
        <v>15769</v>
      </c>
      <c r="O68" s="359" t="s">
        <v>15769</v>
      </c>
      <c r="P68" s="360" t="s">
        <v>489</v>
      </c>
      <c r="Q68" s="361" t="s">
        <v>15768</v>
      </c>
      <c r="R68" s="208" t="str">
        <f ca="1">IF(ISERROR($V68),"",OFFSET('Smelter Look-up'!$C$4,$V68-4,0)&amp;"")</f>
        <v>Al Etihad Gold Refinery DMCC</v>
      </c>
      <c r="S68" s="215" t="str">
        <f t="shared" ca="1" si="6"/>
        <v>AE</v>
      </c>
      <c r="T68" s="215" t="str">
        <f ca="1">IF(B68="","",IF(ISERROR(MATCH($J68,SorP!$B$1:$B$6230,0)),"",INDIRECT("'SorP'!$A$"&amp;MATCH($J68,SorP!$B$1:$B$6230,0))))</f>
        <v>AE-DU</v>
      </c>
      <c r="U68" s="231"/>
      <c r="V68" s="262">
        <f>IF(C68="",NA(),IF(OR(C68="Smelter not listed",C68="Smelter not yet identified"),MATCH($B68&amp;$D68,'Smelter Look-up'!$J:$J,0),MATCH($B68&amp;$C68,'Smelter Look-up'!$J:$J,0)))</f>
        <v>16</v>
      </c>
      <c r="W68" s="263"/>
      <c r="X68" s="263">
        <f t="shared" si="7"/>
        <v>0</v>
      </c>
      <c r="Y68" s="263"/>
      <c r="Z68" s="263"/>
      <c r="AB68" s="265" t="str">
        <f t="shared" si="8"/>
        <v>GoldAl Etihad Gold Refinery DMCC</v>
      </c>
    </row>
    <row r="69" spans="1:28" s="264" customFormat="1" ht="102">
      <c r="A69" s="207" t="s">
        <v>651</v>
      </c>
      <c r="B69" s="208" t="s">
        <v>1130</v>
      </c>
      <c r="C69" s="356" t="s">
        <v>52</v>
      </c>
      <c r="D69" s="270"/>
      <c r="E69" s="208" t="s">
        <v>1101</v>
      </c>
      <c r="F69" s="208" t="s">
        <v>651</v>
      </c>
      <c r="G69" s="208" t="s">
        <v>13320</v>
      </c>
      <c r="H69" s="357">
        <v>0</v>
      </c>
      <c r="I69" s="358" t="s">
        <v>1549</v>
      </c>
      <c r="J69" s="358" t="s">
        <v>1550</v>
      </c>
      <c r="K69" s="359"/>
      <c r="L69" s="359"/>
      <c r="M69" s="359"/>
      <c r="N69" s="359" t="s">
        <v>15771</v>
      </c>
      <c r="O69" s="359" t="s">
        <v>15771</v>
      </c>
      <c r="P69" s="360" t="s">
        <v>490</v>
      </c>
      <c r="Q69" s="361" t="s">
        <v>15768</v>
      </c>
      <c r="R69" s="208" t="str">
        <f ca="1">IF(ISERROR($V69),"",OFFSET('Smelter Look-up'!$C$4,$V69-4,0)&amp;"")</f>
        <v>Agosi AG</v>
      </c>
      <c r="S69" s="215" t="str">
        <f t="shared" ref="S69" ca="1" si="9">IF(B69="","",IF(ISERROR(MATCH($E69,CL,0)),"Unknown",INDIRECT("'C'!$A$"&amp;MATCH($E69,CL,0)+1)))</f>
        <v>DE</v>
      </c>
      <c r="T69" s="215" t="str">
        <f ca="1">IF(B69="","",IF(ISERROR(MATCH($J69,SorP!$B$1:$B$6230,0)),"",INDIRECT("'SorP'!$A$"&amp;MATCH($J69,SorP!$B$1:$B$6230,0))))</f>
        <v>DE-BW</v>
      </c>
      <c r="U69" s="231"/>
      <c r="V69" s="262">
        <f>IF(C69="",NA(),IF(OR(C69="Smelter not listed",C69="Smelter not yet identified"),MATCH($B69&amp;$D69,'Smelter Look-up'!$J:$J,0),MATCH($B69&amp;$C69,'Smelter Look-up'!$J:$J,0)))</f>
        <v>19</v>
      </c>
      <c r="W69" s="263"/>
      <c r="X69" s="263">
        <f t="shared" ref="X69" si="10">IF(AND(C69="Smelter not listed",OR(LEN(D69)=0,LEN(E69)=0)),1,0)</f>
        <v>0</v>
      </c>
      <c r="Y69" s="263"/>
      <c r="Z69" s="263"/>
      <c r="AB69" s="265" t="str">
        <f t="shared" ref="AB69" si="11">B69&amp;C69</f>
        <v>GoldAllgemeine Gold-und Silberscheideanstalt A.G.</v>
      </c>
    </row>
    <row r="70" spans="1:28" s="264" customFormat="1" ht="102">
      <c r="A70" s="207" t="s">
        <v>652</v>
      </c>
      <c r="B70" s="208" t="s">
        <v>1130</v>
      </c>
      <c r="C70" s="356" t="s">
        <v>624</v>
      </c>
      <c r="D70" s="270"/>
      <c r="E70" s="208" t="s">
        <v>891</v>
      </c>
      <c r="F70" s="208" t="s">
        <v>652</v>
      </c>
      <c r="G70" s="208" t="s">
        <v>13320</v>
      </c>
      <c r="H70" s="357">
        <v>0</v>
      </c>
      <c r="I70" s="358" t="s">
        <v>1551</v>
      </c>
      <c r="J70" s="358" t="s">
        <v>12093</v>
      </c>
      <c r="K70" s="359"/>
      <c r="L70" s="359"/>
      <c r="M70" s="359"/>
      <c r="N70" s="359" t="s">
        <v>15772</v>
      </c>
      <c r="O70" s="359" t="s">
        <v>15772</v>
      </c>
      <c r="P70" s="360" t="s">
        <v>490</v>
      </c>
      <c r="Q70" s="361" t="s">
        <v>15768</v>
      </c>
      <c r="R70" s="208" t="str">
        <f ca="1">IF(ISERROR($V70),"",OFFSET('Smelter Look-up'!$C$4,$V70-4,0)&amp;"")</f>
        <v>Almalyk Mining and Metallurgical Complex (AMMC)</v>
      </c>
      <c r="S70" s="215" t="str">
        <f t="shared" ref="S70:S101" ca="1" si="12">IF(B70="","",IF(ISERROR(MATCH($E70,CL,0)),"Unknown",INDIRECT("'C'!$A$"&amp;MATCH($E70,CL,0)+1)))</f>
        <v>UZ</v>
      </c>
      <c r="T70" s="215" t="str">
        <f ca="1">IF(B70="","",IF(ISERROR(MATCH($J70,SorP!$B$1:$B$6230,0)),"",INDIRECT("'SorP'!$A$"&amp;MATCH($J70,SorP!$B$1:$B$6230,0))))</f>
        <v>UZ-TO</v>
      </c>
      <c r="U70" s="231"/>
      <c r="V70" s="262">
        <f>IF(C70="",NA(),IF(OR(C70="Smelter not listed",C70="Smelter not yet identified"),MATCH($B70&amp;$D70,'Smelter Look-up'!$J:$J,0),MATCH($B70&amp;$C70,'Smelter Look-up'!$J:$J,0)))</f>
        <v>20</v>
      </c>
      <c r="W70" s="263"/>
      <c r="X70" s="263">
        <f t="shared" ref="X70:X101" si="13">IF(AND(C70="Smelter not listed",OR(LEN(D70)=0,LEN(E70)=0)),1,0)</f>
        <v>0</v>
      </c>
      <c r="Y70" s="263"/>
      <c r="Z70" s="263"/>
      <c r="AB70" s="265" t="str">
        <f t="shared" ref="AB70:AB101" si="14">B70&amp;C70</f>
        <v>GoldAlmalyk Mining and Metallurgical Complex (AMMC)</v>
      </c>
    </row>
    <row r="71" spans="1:28" s="264" customFormat="1" ht="89.25">
      <c r="A71" s="207" t="s">
        <v>653</v>
      </c>
      <c r="B71" s="208" t="s">
        <v>1130</v>
      </c>
      <c r="C71" s="356" t="s">
        <v>12507</v>
      </c>
      <c r="D71" s="270"/>
      <c r="E71" s="208" t="s">
        <v>1096</v>
      </c>
      <c r="F71" s="208" t="s">
        <v>653</v>
      </c>
      <c r="G71" s="208" t="s">
        <v>13320</v>
      </c>
      <c r="H71" s="357">
        <v>0</v>
      </c>
      <c r="I71" s="358" t="s">
        <v>1553</v>
      </c>
      <c r="J71" s="358" t="s">
        <v>1554</v>
      </c>
      <c r="K71" s="359"/>
      <c r="L71" s="359"/>
      <c r="M71" s="359"/>
      <c r="N71" s="359" t="s">
        <v>15772</v>
      </c>
      <c r="O71" s="359" t="s">
        <v>15772</v>
      </c>
      <c r="P71" s="360" t="s">
        <v>490</v>
      </c>
      <c r="Q71" s="361" t="s">
        <v>15768</v>
      </c>
      <c r="R71" s="208" t="str">
        <f ca="1">IF(ISERROR($V71),"",OFFSET('Smelter Look-up'!$C$4,$V71-4,0)&amp;"")</f>
        <v>AngloGold Ashanti Corrego do Sitio Mineracao</v>
      </c>
      <c r="S71" s="215" t="str">
        <f t="shared" ca="1" si="12"/>
        <v>BR</v>
      </c>
      <c r="T71" s="215" t="str">
        <f ca="1">IF(B71="","",IF(ISERROR(MATCH($J71,SorP!$B$1:$B$6230,0)),"",INDIRECT("'SorP'!$A$"&amp;MATCH($J71,SorP!$B$1:$B$6230,0))))</f>
        <v>BR-MG</v>
      </c>
      <c r="U71" s="231"/>
      <c r="V71" s="262">
        <f>IF(C71="",NA(),IF(OR(C71="Smelter not listed",C71="Smelter not yet identified"),MATCH($B71&amp;$D71,'Smelter Look-up'!$J:$J,0),MATCH($B71&amp;$C71,'Smelter Look-up'!$J:$J,0)))</f>
        <v>23</v>
      </c>
      <c r="W71" s="263"/>
      <c r="X71" s="263">
        <f t="shared" si="13"/>
        <v>0</v>
      </c>
      <c r="Y71" s="263"/>
      <c r="Z71" s="263"/>
      <c r="AB71" s="265" t="str">
        <f t="shared" si="14"/>
        <v>GoldAngloGold Ashanti Corrego do Sitio Mineracao</v>
      </c>
    </row>
    <row r="72" spans="1:28" s="264" customFormat="1" ht="51">
      <c r="A72" s="207" t="s">
        <v>654</v>
      </c>
      <c r="B72" s="208" t="s">
        <v>1130</v>
      </c>
      <c r="C72" s="356" t="s">
        <v>2305</v>
      </c>
      <c r="D72" s="270"/>
      <c r="E72" s="208" t="s">
        <v>1098</v>
      </c>
      <c r="F72" s="208" t="s">
        <v>654</v>
      </c>
      <c r="G72" s="208" t="s">
        <v>13320</v>
      </c>
      <c r="H72" s="357">
        <v>0</v>
      </c>
      <c r="I72" s="358" t="s">
        <v>1555</v>
      </c>
      <c r="J72" s="358" t="s">
        <v>1556</v>
      </c>
      <c r="K72" s="359"/>
      <c r="L72" s="359"/>
      <c r="M72" s="359"/>
      <c r="N72" s="359" t="s">
        <v>15771</v>
      </c>
      <c r="O72" s="359" t="s">
        <v>15771</v>
      </c>
      <c r="P72" s="360" t="s">
        <v>490</v>
      </c>
      <c r="Q72" s="361" t="s">
        <v>15768</v>
      </c>
      <c r="R72" s="208" t="str">
        <f ca="1">IF(ISERROR($V72),"",OFFSET('Smelter Look-up'!$C$4,$V72-4,0)&amp;"")</f>
        <v>Argor-Heraeus S.A.</v>
      </c>
      <c r="S72" s="215" t="str">
        <f t="shared" ca="1" si="12"/>
        <v>CH</v>
      </c>
      <c r="T72" s="215" t="str">
        <f ca="1">IF(B72="","",IF(ISERROR(MATCH($J72,SorP!$B$1:$B$6230,0)),"",INDIRECT("'SorP'!$A$"&amp;MATCH($J72,SorP!$B$1:$B$6230,0))))</f>
        <v>CH-TI</v>
      </c>
      <c r="U72" s="231"/>
      <c r="V72" s="262">
        <f>IF(C72="",NA(),IF(OR(C72="Smelter not listed",C72="Smelter not yet identified"),MATCH($B72&amp;$D72,'Smelter Look-up'!$J:$J,0),MATCH($B72&amp;$C72,'Smelter Look-up'!$J:$J,0)))</f>
        <v>28</v>
      </c>
      <c r="W72" s="263"/>
      <c r="X72" s="263">
        <f t="shared" si="13"/>
        <v>0</v>
      </c>
      <c r="Y72" s="263"/>
      <c r="Z72" s="263"/>
      <c r="AB72" s="265" t="str">
        <f t="shared" si="14"/>
        <v>GoldArgor-Heraeus S.A.</v>
      </c>
    </row>
    <row r="73" spans="1:28" s="264" customFormat="1" ht="51">
      <c r="A73" s="207" t="s">
        <v>655</v>
      </c>
      <c r="B73" s="208" t="s">
        <v>1130</v>
      </c>
      <c r="C73" s="356" t="s">
        <v>2306</v>
      </c>
      <c r="D73" s="270"/>
      <c r="E73" s="208" t="s">
        <v>1108</v>
      </c>
      <c r="F73" s="208" t="s">
        <v>655</v>
      </c>
      <c r="G73" s="208" t="s">
        <v>13320</v>
      </c>
      <c r="H73" s="357">
        <v>0</v>
      </c>
      <c r="I73" s="358" t="s">
        <v>1557</v>
      </c>
      <c r="J73" s="358" t="s">
        <v>1558</v>
      </c>
      <c r="K73" s="359"/>
      <c r="L73" s="359"/>
      <c r="M73" s="359"/>
      <c r="N73" s="359" t="s">
        <v>15772</v>
      </c>
      <c r="O73" s="359" t="s">
        <v>15772</v>
      </c>
      <c r="P73" s="360" t="s">
        <v>490</v>
      </c>
      <c r="Q73" s="361" t="s">
        <v>15768</v>
      </c>
      <c r="R73" s="208" t="str">
        <f ca="1">IF(ISERROR($V73),"",OFFSET('Smelter Look-up'!$C$4,$V73-4,0)&amp;"")</f>
        <v>Asahi Pretec Corp.</v>
      </c>
      <c r="S73" s="215" t="str">
        <f t="shared" ca="1" si="12"/>
        <v>JP</v>
      </c>
      <c r="T73" s="215" t="str">
        <f ca="1">IF(B73="","",IF(ISERROR(MATCH($J73,SorP!$B$1:$B$6230,0)),"",INDIRECT("'SorP'!$A$"&amp;MATCH($J73,SorP!$B$1:$B$6230,0))))</f>
        <v>JP-28</v>
      </c>
      <c r="U73" s="231"/>
      <c r="V73" s="262">
        <f>IF(C73="",NA(),IF(OR(C73="Smelter not listed",C73="Smelter not yet identified"),MATCH($B73&amp;$D73,'Smelter Look-up'!$J:$J,0),MATCH($B73&amp;$C73,'Smelter Look-up'!$J:$J,0)))</f>
        <v>29</v>
      </c>
      <c r="W73" s="263"/>
      <c r="X73" s="263">
        <f t="shared" si="13"/>
        <v>0</v>
      </c>
      <c r="Y73" s="263"/>
      <c r="Z73" s="263"/>
      <c r="AB73" s="265" t="str">
        <f t="shared" si="14"/>
        <v>GoldAsahi Pretec Corp.</v>
      </c>
    </row>
    <row r="74" spans="1:28" s="264" customFormat="1" ht="63.75">
      <c r="A74" s="207" t="s">
        <v>689</v>
      </c>
      <c r="B74" s="208" t="s">
        <v>1130</v>
      </c>
      <c r="C74" s="356" t="s">
        <v>2307</v>
      </c>
      <c r="D74" s="270"/>
      <c r="E74" s="208" t="s">
        <v>1097</v>
      </c>
      <c r="F74" s="208" t="s">
        <v>689</v>
      </c>
      <c r="G74" s="208" t="s">
        <v>13320</v>
      </c>
      <c r="H74" s="357">
        <v>0</v>
      </c>
      <c r="I74" s="358" t="s">
        <v>1609</v>
      </c>
      <c r="J74" s="358" t="s">
        <v>1610</v>
      </c>
      <c r="K74" s="359"/>
      <c r="L74" s="359"/>
      <c r="M74" s="359"/>
      <c r="N74" s="359" t="s">
        <v>15772</v>
      </c>
      <c r="O74" s="359" t="s">
        <v>15772</v>
      </c>
      <c r="P74" s="360" t="s">
        <v>490</v>
      </c>
      <c r="Q74" s="361" t="s">
        <v>15768</v>
      </c>
      <c r="R74" s="208" t="str">
        <f ca="1">IF(ISERROR($V74),"",OFFSET('Smelter Look-up'!$C$4,$V74-4,0)&amp;"")</f>
        <v>Asahi Refining Canada Ltd.</v>
      </c>
      <c r="S74" s="215" t="str">
        <f t="shared" ca="1" si="12"/>
        <v>CA</v>
      </c>
      <c r="T74" s="215" t="str">
        <f ca="1">IF(B74="","",IF(ISERROR(MATCH($J74,SorP!$B$1:$B$6230,0)),"",INDIRECT("'SorP'!$A$"&amp;MATCH($J74,SorP!$B$1:$B$6230,0))))</f>
        <v>CA-ON</v>
      </c>
      <c r="U74" s="231"/>
      <c r="V74" s="262">
        <f>IF(C74="",NA(),IF(OR(C74="Smelter not listed",C74="Smelter not yet identified"),MATCH($B74&amp;$D74,'Smelter Look-up'!$J:$J,0),MATCH($B74&amp;$C74,'Smelter Look-up'!$J:$J,0)))</f>
        <v>30</v>
      </c>
      <c r="W74" s="263"/>
      <c r="X74" s="263">
        <f t="shared" si="13"/>
        <v>0</v>
      </c>
      <c r="Y74" s="263"/>
      <c r="Z74" s="263"/>
      <c r="AB74" s="265" t="str">
        <f t="shared" si="14"/>
        <v>GoldAsahi Refining Canada Ltd.</v>
      </c>
    </row>
    <row r="75" spans="1:28" s="264" customFormat="1" ht="63.75">
      <c r="A75" s="207" t="s">
        <v>688</v>
      </c>
      <c r="B75" s="208" t="s">
        <v>1130</v>
      </c>
      <c r="C75" s="356" t="s">
        <v>2215</v>
      </c>
      <c r="D75" s="270"/>
      <c r="E75" s="208" t="s">
        <v>2456</v>
      </c>
      <c r="F75" s="208" t="s">
        <v>688</v>
      </c>
      <c r="G75" s="208" t="s">
        <v>13320</v>
      </c>
      <c r="H75" s="357">
        <v>0</v>
      </c>
      <c r="I75" s="358" t="s">
        <v>1606</v>
      </c>
      <c r="J75" s="358" t="s">
        <v>1607</v>
      </c>
      <c r="K75" s="359"/>
      <c r="L75" s="359"/>
      <c r="M75" s="359"/>
      <c r="N75" s="359" t="s">
        <v>15772</v>
      </c>
      <c r="O75" s="359" t="s">
        <v>15772</v>
      </c>
      <c r="P75" s="360" t="s">
        <v>490</v>
      </c>
      <c r="Q75" s="361" t="s">
        <v>15768</v>
      </c>
      <c r="R75" s="208" t="str">
        <f ca="1">IF(ISERROR($V75),"",OFFSET('Smelter Look-up'!$C$4,$V75-4,0)&amp;"")</f>
        <v>Asahi Refining USA Inc.</v>
      </c>
      <c r="S75" s="215" t="str">
        <f t="shared" ca="1" si="12"/>
        <v>US</v>
      </c>
      <c r="T75" s="215" t="str">
        <f ca="1">IF(B75="","",IF(ISERROR(MATCH($J75,SorP!$B$1:$B$6230,0)),"",INDIRECT("'SorP'!$A$"&amp;MATCH($J75,SorP!$B$1:$B$6230,0))))</f>
        <v>US-UT</v>
      </c>
      <c r="U75" s="231"/>
      <c r="V75" s="262">
        <f>IF(C75="",NA(),IF(OR(C75="Smelter not listed",C75="Smelter not yet identified"),MATCH($B75&amp;$D75,'Smelter Look-up'!$J:$J,0),MATCH($B75&amp;$C75,'Smelter Look-up'!$J:$J,0)))</f>
        <v>31</v>
      </c>
      <c r="W75" s="263"/>
      <c r="X75" s="263">
        <f t="shared" si="13"/>
        <v>0</v>
      </c>
      <c r="Y75" s="263"/>
      <c r="Z75" s="263"/>
      <c r="AB75" s="265" t="str">
        <f t="shared" si="14"/>
        <v>GoldAsahi Refining USA Inc.</v>
      </c>
    </row>
    <row r="76" spans="1:28" s="264" customFormat="1" ht="51">
      <c r="A76" s="207" t="s">
        <v>656</v>
      </c>
      <c r="B76" s="208" t="s">
        <v>1130</v>
      </c>
      <c r="C76" s="356" t="s">
        <v>2155</v>
      </c>
      <c r="D76" s="270"/>
      <c r="E76" s="208" t="s">
        <v>1108</v>
      </c>
      <c r="F76" s="208" t="s">
        <v>656</v>
      </c>
      <c r="G76" s="208" t="s">
        <v>13320</v>
      </c>
      <c r="H76" s="357">
        <v>0</v>
      </c>
      <c r="I76" s="358" t="s">
        <v>1560</v>
      </c>
      <c r="J76" s="358" t="s">
        <v>1561</v>
      </c>
      <c r="K76" s="359"/>
      <c r="L76" s="359"/>
      <c r="M76" s="359"/>
      <c r="N76" s="359" t="s">
        <v>15770</v>
      </c>
      <c r="O76" s="359" t="s">
        <v>15770</v>
      </c>
      <c r="P76" s="360" t="s">
        <v>488</v>
      </c>
      <c r="Q76" s="361" t="s">
        <v>15768</v>
      </c>
      <c r="R76" s="208" t="str">
        <f ca="1">IF(ISERROR($V76),"",OFFSET('Smelter Look-up'!$C$4,$V76-4,0)&amp;"")</f>
        <v>Asaka Riken Co., Ltd.</v>
      </c>
      <c r="S76" s="215" t="str">
        <f t="shared" ca="1" si="12"/>
        <v>JP</v>
      </c>
      <c r="T76" s="215" t="str">
        <f ca="1">IF(B76="","",IF(ISERROR(MATCH($J76,SorP!$B$1:$B$6230,0)),"",INDIRECT("'SorP'!$A$"&amp;MATCH($J76,SorP!$B$1:$B$6230,0))))</f>
        <v>JP-07</v>
      </c>
      <c r="U76" s="231"/>
      <c r="V76" s="262">
        <f>IF(C76="",NA(),IF(OR(C76="Smelter not listed",C76="Smelter not yet identified"),MATCH($B76&amp;$D76,'Smelter Look-up'!$J:$J,0),MATCH($B76&amp;$C76,'Smelter Look-up'!$J:$J,0)))</f>
        <v>32</v>
      </c>
      <c r="W76" s="263"/>
      <c r="X76" s="263">
        <f t="shared" si="13"/>
        <v>0</v>
      </c>
      <c r="Y76" s="263"/>
      <c r="Z76" s="263"/>
      <c r="AB76" s="265" t="str">
        <f t="shared" si="14"/>
        <v>GoldAsaka Riken Co., Ltd.</v>
      </c>
    </row>
    <row r="77" spans="1:28" s="264" customFormat="1" ht="25.5">
      <c r="A77" s="207" t="s">
        <v>658</v>
      </c>
      <c r="B77" s="208" t="s">
        <v>1130</v>
      </c>
      <c r="C77" s="356" t="s">
        <v>1224</v>
      </c>
      <c r="D77" s="270"/>
      <c r="E77" s="208" t="s">
        <v>1101</v>
      </c>
      <c r="F77" s="208" t="s">
        <v>658</v>
      </c>
      <c r="G77" s="208" t="s">
        <v>13320</v>
      </c>
      <c r="H77" s="357">
        <v>0</v>
      </c>
      <c r="I77" s="358" t="s">
        <v>1563</v>
      </c>
      <c r="J77" s="358" t="s">
        <v>1563</v>
      </c>
      <c r="K77" s="359"/>
      <c r="L77" s="359"/>
      <c r="M77" s="359"/>
      <c r="N77" s="359" t="s">
        <v>15772</v>
      </c>
      <c r="O77" s="359" t="s">
        <v>15772</v>
      </c>
      <c r="P77" s="360" t="s">
        <v>490</v>
      </c>
      <c r="Q77" s="361" t="s">
        <v>15768</v>
      </c>
      <c r="R77" s="208" t="str">
        <f ca="1">IF(ISERROR($V77),"",OFFSET('Smelter Look-up'!$C$4,$V77-4,0)&amp;"")</f>
        <v>Aurubis AG</v>
      </c>
      <c r="S77" s="215" t="str">
        <f t="shared" ca="1" si="12"/>
        <v>DE</v>
      </c>
      <c r="T77" s="215" t="str">
        <f ca="1">IF(B77="","",IF(ISERROR(MATCH($J77,SorP!$B$1:$B$6230,0)),"",INDIRECT("'SorP'!$A$"&amp;MATCH($J77,SorP!$B$1:$B$6230,0))))</f>
        <v>DE-HH</v>
      </c>
      <c r="U77" s="231"/>
      <c r="V77" s="262">
        <f>IF(C77="",NA(),IF(OR(C77="Smelter not listed",C77="Smelter not yet identified"),MATCH($B77&amp;$D77,'Smelter Look-up'!$J:$J,0),MATCH($B77&amp;$C77,'Smelter Look-up'!$J:$J,0)))</f>
        <v>37</v>
      </c>
      <c r="W77" s="263"/>
      <c r="X77" s="263">
        <f t="shared" si="13"/>
        <v>0</v>
      </c>
      <c r="Y77" s="263"/>
      <c r="Z77" s="263"/>
      <c r="AB77" s="265" t="str">
        <f t="shared" si="14"/>
        <v>GoldAurubis AG</v>
      </c>
    </row>
    <row r="78" spans="1:28" s="264" customFormat="1" ht="38.25">
      <c r="A78" s="207" t="s">
        <v>2313</v>
      </c>
      <c r="B78" s="208" t="s">
        <v>1130</v>
      </c>
      <c r="C78" s="356" t="s">
        <v>2312</v>
      </c>
      <c r="D78" s="270"/>
      <c r="E78" s="208" t="s">
        <v>1106</v>
      </c>
      <c r="F78" s="208" t="s">
        <v>2313</v>
      </c>
      <c r="G78" s="208" t="s">
        <v>13320</v>
      </c>
      <c r="H78" s="357">
        <v>0</v>
      </c>
      <c r="I78" s="358" t="s">
        <v>2369</v>
      </c>
      <c r="J78" s="358" t="s">
        <v>2370</v>
      </c>
      <c r="K78" s="359"/>
      <c r="L78" s="359"/>
      <c r="M78" s="359"/>
      <c r="N78" s="359" t="s">
        <v>15769</v>
      </c>
      <c r="O78" s="359" t="s">
        <v>15769</v>
      </c>
      <c r="P78" s="360" t="s">
        <v>489</v>
      </c>
      <c r="Q78" s="361" t="s">
        <v>15768</v>
      </c>
      <c r="R78" s="208" t="str">
        <f ca="1">IF(ISERROR($V78),"",OFFSET('Smelter Look-up'!$C$4,$V78-4,0)&amp;"")</f>
        <v>Bangalore Refinery</v>
      </c>
      <c r="S78" s="215" t="str">
        <f t="shared" ca="1" si="12"/>
        <v>IN</v>
      </c>
      <c r="T78" s="215" t="str">
        <f ca="1">IF(B78="","",IF(ISERROR(MATCH($J78,SorP!$B$1:$B$6230,0)),"",INDIRECT("'SorP'!$A$"&amp;MATCH($J78,SorP!$B$1:$B$6230,0))))</f>
        <v>IN-KA</v>
      </c>
      <c r="U78" s="231"/>
      <c r="V78" s="262">
        <f>IF(C78="",NA(),IF(OR(C78="Smelter not listed",C78="Smelter not yet identified"),MATCH($B78&amp;$D78,'Smelter Look-up'!$J:$J,0),MATCH($B78&amp;$C78,'Smelter Look-up'!$J:$J,0)))</f>
        <v>39</v>
      </c>
      <c r="W78" s="263"/>
      <c r="X78" s="263">
        <f t="shared" si="13"/>
        <v>0</v>
      </c>
      <c r="Y78" s="263"/>
      <c r="Z78" s="263"/>
      <c r="AB78" s="265" t="str">
        <f t="shared" si="14"/>
        <v>GoldBangalore Refinery</v>
      </c>
    </row>
    <row r="79" spans="1:28" s="264" customFormat="1" ht="127.5">
      <c r="A79" s="207" t="s">
        <v>659</v>
      </c>
      <c r="B79" s="208" t="s">
        <v>1130</v>
      </c>
      <c r="C79" s="356" t="s">
        <v>904</v>
      </c>
      <c r="D79" s="270"/>
      <c r="E79" s="208" t="s">
        <v>881</v>
      </c>
      <c r="F79" s="208" t="s">
        <v>659</v>
      </c>
      <c r="G79" s="208" t="s">
        <v>13320</v>
      </c>
      <c r="H79" s="357">
        <v>0</v>
      </c>
      <c r="I79" s="358" t="s">
        <v>2216</v>
      </c>
      <c r="J79" s="358" t="s">
        <v>9526</v>
      </c>
      <c r="K79" s="359"/>
      <c r="L79" s="359"/>
      <c r="M79" s="359"/>
      <c r="N79" s="359" t="s">
        <v>15772</v>
      </c>
      <c r="O79" s="359" t="s">
        <v>15772</v>
      </c>
      <c r="P79" s="360" t="s">
        <v>490</v>
      </c>
      <c r="Q79" s="361" t="s">
        <v>15768</v>
      </c>
      <c r="R79" s="208" t="str">
        <f ca="1">IF(ISERROR($V79),"",OFFSET('Smelter Look-up'!$C$4,$V79-4,0)&amp;"")</f>
        <v>Bangko Sentral ng Pilipinas (Central Bank of the Philippines)</v>
      </c>
      <c r="S79" s="215" t="str">
        <f t="shared" ca="1" si="12"/>
        <v>PH</v>
      </c>
      <c r="T79" s="215" t="str">
        <f ca="1">IF(B79="","",IF(ISERROR(MATCH($J79,SorP!$B$1:$B$6230,0)),"",INDIRECT("'SorP'!$A$"&amp;MATCH($J79,SorP!$B$1:$B$6230,0))))</f>
        <v>PH-RIZ</v>
      </c>
      <c r="U79" s="231"/>
      <c r="V79" s="262">
        <f>IF(C79="",NA(),IF(OR(C79="Smelter not listed",C79="Smelter not yet identified"),MATCH($B79&amp;$D79,'Smelter Look-up'!$J:$J,0),MATCH($B79&amp;$C79,'Smelter Look-up'!$J:$J,0)))</f>
        <v>41</v>
      </c>
      <c r="W79" s="263"/>
      <c r="X79" s="263">
        <f t="shared" si="13"/>
        <v>0</v>
      </c>
      <c r="Y79" s="263"/>
      <c r="Z79" s="263"/>
      <c r="AB79" s="265" t="str">
        <f t="shared" si="14"/>
        <v>GoldBangko Sentral ng Pilipinas (Central Bank of the Philippines)</v>
      </c>
    </row>
    <row r="80" spans="1:28" s="264" customFormat="1" ht="25.5">
      <c r="A80" s="207" t="s">
        <v>660</v>
      </c>
      <c r="B80" s="208" t="s">
        <v>1130</v>
      </c>
      <c r="C80" s="356" t="s">
        <v>1226</v>
      </c>
      <c r="D80" s="270"/>
      <c r="E80" s="208" t="s">
        <v>887</v>
      </c>
      <c r="F80" s="208" t="s">
        <v>660</v>
      </c>
      <c r="G80" s="208" t="s">
        <v>13320</v>
      </c>
      <c r="H80" s="357">
        <v>0</v>
      </c>
      <c r="I80" s="358" t="s">
        <v>1565</v>
      </c>
      <c r="J80" s="358" t="s">
        <v>10354</v>
      </c>
      <c r="K80" s="359"/>
      <c r="L80" s="359"/>
      <c r="M80" s="359"/>
      <c r="N80" s="359" t="s">
        <v>15772</v>
      </c>
      <c r="O80" s="359" t="s">
        <v>15772</v>
      </c>
      <c r="P80" s="360" t="s">
        <v>490</v>
      </c>
      <c r="Q80" s="361" t="s">
        <v>15768</v>
      </c>
      <c r="R80" s="208" t="str">
        <f ca="1">IF(ISERROR($V80),"",OFFSET('Smelter Look-up'!$C$4,$V80-4,0)&amp;"")</f>
        <v>Boliden AB</v>
      </c>
      <c r="S80" s="215" t="str">
        <f t="shared" ca="1" si="12"/>
        <v>SE</v>
      </c>
      <c r="T80" s="215" t="str">
        <f ca="1">IF(B80="","",IF(ISERROR(MATCH($J80,SorP!$B$1:$B$6230,0)),"",INDIRECT("'SorP'!$A$"&amp;MATCH($J80,SorP!$B$1:$B$6230,0))))</f>
        <v>SE-AC</v>
      </c>
      <c r="U80" s="231"/>
      <c r="V80" s="262">
        <f>IF(C80="",NA(),IF(OR(C80="Smelter not listed",C80="Smelter not yet identified"),MATCH($B80&amp;$D80,'Smelter Look-up'!$J:$J,0),MATCH($B80&amp;$C80,'Smelter Look-up'!$J:$J,0)))</f>
        <v>42</v>
      </c>
      <c r="W80" s="263"/>
      <c r="X80" s="263">
        <f t="shared" si="13"/>
        <v>0</v>
      </c>
      <c r="Y80" s="263"/>
      <c r="Z80" s="263"/>
      <c r="AB80" s="265" t="str">
        <f t="shared" si="14"/>
        <v>GoldBoliden AB</v>
      </c>
    </row>
    <row r="81" spans="1:28" s="264" customFormat="1" ht="51">
      <c r="A81" s="207" t="s">
        <v>662</v>
      </c>
      <c r="B81" s="208" t="s">
        <v>1130</v>
      </c>
      <c r="C81" s="356" t="s">
        <v>661</v>
      </c>
      <c r="D81" s="270"/>
      <c r="E81" s="208" t="s">
        <v>1101</v>
      </c>
      <c r="F81" s="208" t="s">
        <v>662</v>
      </c>
      <c r="G81" s="208" t="s">
        <v>13320</v>
      </c>
      <c r="H81" s="357">
        <v>0</v>
      </c>
      <c r="I81" s="358" t="s">
        <v>1549</v>
      </c>
      <c r="J81" s="358" t="s">
        <v>1550</v>
      </c>
      <c r="K81" s="359"/>
      <c r="L81" s="359"/>
      <c r="M81" s="359"/>
      <c r="N81" s="359" t="s">
        <v>15771</v>
      </c>
      <c r="O81" s="359" t="s">
        <v>15771</v>
      </c>
      <c r="P81" s="360" t="s">
        <v>490</v>
      </c>
      <c r="Q81" s="361" t="s">
        <v>15768</v>
      </c>
      <c r="R81" s="208" t="str">
        <f ca="1">IF(ISERROR($V81),"",OFFSET('Smelter Look-up'!$C$4,$V81-4,0)&amp;"")</f>
        <v>C. Hafner GmbH + Co. KG</v>
      </c>
      <c r="S81" s="215" t="str">
        <f t="shared" ca="1" si="12"/>
        <v>DE</v>
      </c>
      <c r="T81" s="215" t="str">
        <f ca="1">IF(B81="","",IF(ISERROR(MATCH($J81,SorP!$B$1:$B$6230,0)),"",INDIRECT("'SorP'!$A$"&amp;MATCH($J81,SorP!$B$1:$B$6230,0))))</f>
        <v>DE-BW</v>
      </c>
      <c r="U81" s="231"/>
      <c r="V81" s="262">
        <f>IF(C81="",NA(),IF(OR(C81="Smelter not listed",C81="Smelter not yet identified"),MATCH($B81&amp;$D81,'Smelter Look-up'!$J:$J,0),MATCH($B81&amp;$C81,'Smelter Look-up'!$J:$J,0)))</f>
        <v>43</v>
      </c>
      <c r="W81" s="263"/>
      <c r="X81" s="263">
        <f t="shared" si="13"/>
        <v>0</v>
      </c>
      <c r="Y81" s="263"/>
      <c r="Z81" s="263"/>
      <c r="AB81" s="265" t="str">
        <f t="shared" si="14"/>
        <v>GoldC. Hafner GmbH + Co. KG</v>
      </c>
    </row>
    <row r="82" spans="1:28" s="264" customFormat="1" ht="102">
      <c r="A82" s="207" t="s">
        <v>664</v>
      </c>
      <c r="B82" s="208" t="s">
        <v>1130</v>
      </c>
      <c r="C82" s="356" t="s">
        <v>2257</v>
      </c>
      <c r="D82" s="270"/>
      <c r="E82" s="208" t="s">
        <v>1097</v>
      </c>
      <c r="F82" s="208" t="s">
        <v>664</v>
      </c>
      <c r="G82" s="208" t="s">
        <v>13320</v>
      </c>
      <c r="H82" s="357">
        <v>0</v>
      </c>
      <c r="I82" s="358" t="s">
        <v>1568</v>
      </c>
      <c r="J82" s="358" t="s">
        <v>1569</v>
      </c>
      <c r="K82" s="359"/>
      <c r="L82" s="359"/>
      <c r="M82" s="359"/>
      <c r="N82" s="359" t="s">
        <v>15772</v>
      </c>
      <c r="O82" s="359" t="s">
        <v>15772</v>
      </c>
      <c r="P82" s="360" t="s">
        <v>490</v>
      </c>
      <c r="Q82" s="361" t="s">
        <v>15768</v>
      </c>
      <c r="R82" s="208" t="str">
        <f ca="1">IF(ISERROR($V82),"",OFFSET('Smelter Look-up'!$C$4,$V82-4,0)&amp;"")</f>
        <v>CCR Refinery - Glencore Canada Corporation</v>
      </c>
      <c r="S82" s="215" t="str">
        <f t="shared" ca="1" si="12"/>
        <v>CA</v>
      </c>
      <c r="T82" s="215" t="str">
        <f ca="1">IF(B82="","",IF(ISERROR(MATCH($J82,SorP!$B$1:$B$6230,0)),"",INDIRECT("'SorP'!$A$"&amp;MATCH($J82,SorP!$B$1:$B$6230,0))))</f>
        <v>CA-QC</v>
      </c>
      <c r="U82" s="231"/>
      <c r="V82" s="262">
        <f>IF(C82="",NA(),IF(OR(C82="Smelter not listed",C82="Smelter not yet identified"),MATCH($B82&amp;$D82,'Smelter Look-up'!$J:$J,0),MATCH($B82&amp;$C82,'Smelter Look-up'!$J:$J,0)))</f>
        <v>47</v>
      </c>
      <c r="W82" s="263"/>
      <c r="X82" s="263">
        <f t="shared" si="13"/>
        <v>0</v>
      </c>
      <c r="Y82" s="263"/>
      <c r="Z82" s="263"/>
      <c r="AB82" s="265" t="str">
        <f t="shared" si="14"/>
        <v>GoldCCR Refinery - Glencore Canada Corporation</v>
      </c>
    </row>
    <row r="83" spans="1:28" s="264" customFormat="1" ht="51">
      <c r="A83" s="207" t="s">
        <v>665</v>
      </c>
      <c r="B83" s="208" t="s">
        <v>1130</v>
      </c>
      <c r="C83" s="356" t="s">
        <v>2517</v>
      </c>
      <c r="D83" s="270"/>
      <c r="E83" s="208" t="s">
        <v>1098</v>
      </c>
      <c r="F83" s="208" t="s">
        <v>665</v>
      </c>
      <c r="G83" s="208" t="s">
        <v>13320</v>
      </c>
      <c r="H83" s="357">
        <v>0</v>
      </c>
      <c r="I83" s="358" t="s">
        <v>1572</v>
      </c>
      <c r="J83" s="358" t="s">
        <v>1573</v>
      </c>
      <c r="K83" s="359"/>
      <c r="L83" s="359"/>
      <c r="M83" s="359"/>
      <c r="N83" s="359" t="s">
        <v>15767</v>
      </c>
      <c r="O83" s="359" t="s">
        <v>15767</v>
      </c>
      <c r="P83" s="360" t="s">
        <v>490</v>
      </c>
      <c r="Q83" s="361" t="s">
        <v>15768</v>
      </c>
      <c r="R83" s="208" t="str">
        <f ca="1">IF(ISERROR($V83),"",OFFSET('Smelter Look-up'!$C$4,$V83-4,0)&amp;"")</f>
        <v>Cendres + Metaux S.A.</v>
      </c>
      <c r="S83" s="215" t="str">
        <f t="shared" ca="1" si="12"/>
        <v>CH</v>
      </c>
      <c r="T83" s="215" t="str">
        <f ca="1">IF(B83="","",IF(ISERROR(MATCH($J83,SorP!$B$1:$B$6230,0)),"",INDIRECT("'SorP'!$A$"&amp;MATCH($J83,SorP!$B$1:$B$6230,0))))</f>
        <v>CH-BE</v>
      </c>
      <c r="U83" s="231"/>
      <c r="V83" s="262">
        <f>IF(C83="",NA(),IF(OR(C83="Smelter not listed",C83="Smelter not yet identified"),MATCH($B83&amp;$D83,'Smelter Look-up'!$J:$J,0),MATCH($B83&amp;$C83,'Smelter Look-up'!$J:$J,0)))</f>
        <v>49</v>
      </c>
      <c r="W83" s="263"/>
      <c r="X83" s="263">
        <f t="shared" si="13"/>
        <v>0</v>
      </c>
      <c r="Y83" s="263"/>
      <c r="Z83" s="263"/>
      <c r="AB83" s="265" t="str">
        <f t="shared" si="14"/>
        <v>GoldCendres + Metaux S.A.</v>
      </c>
    </row>
    <row r="84" spans="1:28" s="264" customFormat="1" ht="38.25">
      <c r="A84" s="207" t="s">
        <v>666</v>
      </c>
      <c r="B84" s="208" t="s">
        <v>1130</v>
      </c>
      <c r="C84" s="356" t="s">
        <v>53</v>
      </c>
      <c r="D84" s="270"/>
      <c r="E84" s="208" t="s">
        <v>1107</v>
      </c>
      <c r="F84" s="208" t="s">
        <v>666</v>
      </c>
      <c r="G84" s="208" t="s">
        <v>13320</v>
      </c>
      <c r="H84" s="357">
        <v>0</v>
      </c>
      <c r="I84" s="358" t="s">
        <v>1576</v>
      </c>
      <c r="J84" s="358" t="s">
        <v>6521</v>
      </c>
      <c r="K84" s="359"/>
      <c r="L84" s="359"/>
      <c r="M84" s="359"/>
      <c r="N84" s="359" t="s">
        <v>15772</v>
      </c>
      <c r="O84" s="359" t="s">
        <v>15772</v>
      </c>
      <c r="P84" s="360" t="s">
        <v>490</v>
      </c>
      <c r="Q84" s="361" t="s">
        <v>15768</v>
      </c>
      <c r="R84" s="208" t="str">
        <f ca="1">IF(ISERROR($V84),"",OFFSET('Smelter Look-up'!$C$4,$V84-4,0)&amp;"")</f>
        <v>Chimet S.p.A.</v>
      </c>
      <c r="S84" s="215" t="str">
        <f t="shared" ca="1" si="12"/>
        <v>IT</v>
      </c>
      <c r="T84" s="215" t="str">
        <f ca="1">IF(B84="","",IF(ISERROR(MATCH($J84,SorP!$B$1:$B$6230,0)),"",INDIRECT("'SorP'!$A$"&amp;MATCH($J84,SorP!$B$1:$B$6230,0))))</f>
        <v>IT-52</v>
      </c>
      <c r="U84" s="231"/>
      <c r="V84" s="262">
        <f>IF(C84="",NA(),IF(OR(C84="Smelter not listed",C84="Smelter not yet identified"),MATCH($B84&amp;$D84,'Smelter Look-up'!$J:$J,0),MATCH($B84&amp;$C84,'Smelter Look-up'!$J:$J,0)))</f>
        <v>55</v>
      </c>
      <c r="W84" s="263"/>
      <c r="X84" s="263">
        <f t="shared" si="13"/>
        <v>0</v>
      </c>
      <c r="Y84" s="263"/>
      <c r="Z84" s="263"/>
      <c r="AB84" s="265" t="str">
        <f t="shared" si="14"/>
        <v>GoldChimet S.p.A.</v>
      </c>
    </row>
    <row r="85" spans="1:28" s="264" customFormat="1" ht="38.25">
      <c r="A85" s="207" t="s">
        <v>667</v>
      </c>
      <c r="B85" s="208" t="s">
        <v>1130</v>
      </c>
      <c r="C85" s="356" t="s">
        <v>539</v>
      </c>
      <c r="D85" s="270"/>
      <c r="E85" s="208" t="s">
        <v>1108</v>
      </c>
      <c r="F85" s="208" t="s">
        <v>667</v>
      </c>
      <c r="G85" s="208" t="s">
        <v>13320</v>
      </c>
      <c r="H85" s="357">
        <v>0</v>
      </c>
      <c r="I85" s="358" t="s">
        <v>1577</v>
      </c>
      <c r="J85" s="358" t="s">
        <v>1548</v>
      </c>
      <c r="K85" s="359"/>
      <c r="L85" s="359"/>
      <c r="M85" s="359"/>
      <c r="N85" s="359" t="s">
        <v>15769</v>
      </c>
      <c r="O85" s="359" t="s">
        <v>15769</v>
      </c>
      <c r="P85" s="360" t="s">
        <v>489</v>
      </c>
      <c r="Q85" s="361" t="s">
        <v>15768</v>
      </c>
      <c r="R85" s="208" t="str">
        <f ca="1">IF(ISERROR($V85),"",OFFSET('Smelter Look-up'!$C$4,$V85-4,0)&amp;"")</f>
        <v>Chugai Mining</v>
      </c>
      <c r="S85" s="215" t="str">
        <f t="shared" ca="1" si="12"/>
        <v>JP</v>
      </c>
      <c r="T85" s="215" t="str">
        <f ca="1">IF(B85="","",IF(ISERROR(MATCH($J85,SorP!$B$1:$B$6230,0)),"",INDIRECT("'SorP'!$A$"&amp;MATCH($J85,SorP!$B$1:$B$6230,0))))</f>
        <v>JP-13</v>
      </c>
      <c r="U85" s="231"/>
      <c r="V85" s="262">
        <f>IF(C85="",NA(),IF(OR(C85="Smelter not listed",C85="Smelter not yet identified"),MATCH($B85&amp;$D85,'Smelter Look-up'!$J:$J,0),MATCH($B85&amp;$C85,'Smelter Look-up'!$J:$J,0)))</f>
        <v>58</v>
      </c>
      <c r="W85" s="263"/>
      <c r="X85" s="263">
        <f t="shared" si="13"/>
        <v>0</v>
      </c>
      <c r="Y85" s="263"/>
      <c r="Z85" s="263"/>
      <c r="AB85" s="265" t="str">
        <f t="shared" si="14"/>
        <v>GoldChugai Mining</v>
      </c>
    </row>
    <row r="86" spans="1:28" s="264" customFormat="1" ht="25.5">
      <c r="A86" s="207" t="s">
        <v>673</v>
      </c>
      <c r="B86" s="208" t="s">
        <v>1130</v>
      </c>
      <c r="C86" s="356" t="s">
        <v>906</v>
      </c>
      <c r="D86" s="270"/>
      <c r="E86" s="208" t="s">
        <v>1108</v>
      </c>
      <c r="F86" s="208" t="s">
        <v>673</v>
      </c>
      <c r="G86" s="208" t="s">
        <v>13320</v>
      </c>
      <c r="H86" s="357">
        <v>0</v>
      </c>
      <c r="I86" s="358" t="s">
        <v>1581</v>
      </c>
      <c r="J86" s="358" t="s">
        <v>1582</v>
      </c>
      <c r="K86" s="359"/>
      <c r="L86" s="359"/>
      <c r="M86" s="359"/>
      <c r="N86" s="359" t="s">
        <v>15769</v>
      </c>
      <c r="O86" s="359" t="s">
        <v>15769</v>
      </c>
      <c r="P86" s="360" t="s">
        <v>489</v>
      </c>
      <c r="Q86" s="361" t="s">
        <v>15768</v>
      </c>
      <c r="R86" s="208" t="str">
        <f ca="1">IF(ISERROR($V86),"",OFFSET('Smelter Look-up'!$C$4,$V86-4,0)&amp;"")</f>
        <v>Dowa</v>
      </c>
      <c r="S86" s="215" t="str">
        <f t="shared" ca="1" si="12"/>
        <v>JP</v>
      </c>
      <c r="T86" s="215" t="str">
        <f ca="1">IF(B86="","",IF(ISERROR(MATCH($J86,SorP!$B$1:$B$6230,0)),"",INDIRECT("'SorP'!$A$"&amp;MATCH($J86,SorP!$B$1:$B$6230,0))))</f>
        <v>JP-05</v>
      </c>
      <c r="U86" s="231"/>
      <c r="V86" s="262">
        <f>IF(C86="",NA(),IF(OR(C86="Smelter not listed",C86="Smelter not yet identified"),MATCH($B86&amp;$D86,'Smelter Look-up'!$J:$J,0),MATCH($B86&amp;$C86,'Smelter Look-up'!$J:$J,0)))</f>
        <v>68</v>
      </c>
      <c r="W86" s="263"/>
      <c r="X86" s="263">
        <f t="shared" si="13"/>
        <v>0</v>
      </c>
      <c r="Y86" s="263"/>
      <c r="Z86" s="263"/>
      <c r="AB86" s="265" t="str">
        <f t="shared" si="14"/>
        <v>GoldDowa</v>
      </c>
    </row>
    <row r="87" spans="1:28" s="264" customFormat="1" ht="63.75">
      <c r="A87" s="207" t="s">
        <v>670</v>
      </c>
      <c r="B87" s="208" t="s">
        <v>1130</v>
      </c>
      <c r="C87" s="356" t="s">
        <v>2273</v>
      </c>
      <c r="D87" s="270"/>
      <c r="E87" s="208" t="s">
        <v>1111</v>
      </c>
      <c r="F87" s="208" t="s">
        <v>670</v>
      </c>
      <c r="G87" s="208" t="s">
        <v>13320</v>
      </c>
      <c r="H87" s="357">
        <v>0</v>
      </c>
      <c r="I87" s="358" t="s">
        <v>1580</v>
      </c>
      <c r="J87" s="358" t="s">
        <v>12950</v>
      </c>
      <c r="K87" s="359"/>
      <c r="L87" s="359"/>
      <c r="M87" s="359"/>
      <c r="N87" s="359" t="s">
        <v>15770</v>
      </c>
      <c r="O87" s="359" t="s">
        <v>15770</v>
      </c>
      <c r="P87" s="360" t="s">
        <v>488</v>
      </c>
      <c r="Q87" s="361" t="s">
        <v>15768</v>
      </c>
      <c r="R87" s="208" t="str">
        <f ca="1">IF(ISERROR($V87),"",OFFSET('Smelter Look-up'!$C$4,$V87-4,0)&amp;"")</f>
        <v>DSC (Do Sung Corporation)</v>
      </c>
      <c r="S87" s="215" t="str">
        <f t="shared" ca="1" si="12"/>
        <v>KR</v>
      </c>
      <c r="T87" s="215" t="str">
        <f ca="1">IF(B87="","",IF(ISERROR(MATCH($J87,SorP!$B$1:$B$6230,0)),"",INDIRECT("'SorP'!$A$"&amp;MATCH($J87,SorP!$B$1:$B$6230,0))))</f>
        <v>KR-41</v>
      </c>
      <c r="U87" s="231"/>
      <c r="V87" s="262">
        <f>IF(C87="",NA(),IF(OR(C87="Smelter not listed",C87="Smelter not yet identified"),MATCH($B87&amp;$D87,'Smelter Look-up'!$J:$J,0),MATCH($B87&amp;$C87,'Smelter Look-up'!$J:$J,0)))</f>
        <v>72</v>
      </c>
      <c r="W87" s="263"/>
      <c r="X87" s="263">
        <f t="shared" si="13"/>
        <v>0</v>
      </c>
      <c r="Y87" s="263"/>
      <c r="Z87" s="263"/>
      <c r="AB87" s="265" t="str">
        <f t="shared" si="14"/>
        <v>GoldDSC (Do Sung Corporation)</v>
      </c>
    </row>
    <row r="88" spans="1:28" s="264" customFormat="1" ht="89.25">
      <c r="A88" s="207" t="s">
        <v>397</v>
      </c>
      <c r="B88" s="208" t="s">
        <v>1130</v>
      </c>
      <c r="C88" s="356" t="s">
        <v>13929</v>
      </c>
      <c r="D88" s="270"/>
      <c r="E88" s="208" t="s">
        <v>1108</v>
      </c>
      <c r="F88" s="208" t="s">
        <v>397</v>
      </c>
      <c r="G88" s="208" t="s">
        <v>13320</v>
      </c>
      <c r="H88" s="357">
        <v>0</v>
      </c>
      <c r="I88" s="358" t="s">
        <v>1586</v>
      </c>
      <c r="J88" s="358" t="s">
        <v>1587</v>
      </c>
      <c r="K88" s="359"/>
      <c r="L88" s="359"/>
      <c r="M88" s="359"/>
      <c r="N88" s="359" t="s">
        <v>15770</v>
      </c>
      <c r="O88" s="359" t="s">
        <v>15770</v>
      </c>
      <c r="P88" s="360" t="s">
        <v>488</v>
      </c>
      <c r="Q88" s="361" t="s">
        <v>15768</v>
      </c>
      <c r="R88" s="208" t="str">
        <f ca="1">IF(ISERROR($V88),"",OFFSET('Smelter Look-up'!$C$4,$V88-4,0)&amp;"")</f>
        <v>Eco-System Recycling Co., Ltd. East Plant</v>
      </c>
      <c r="S88" s="215" t="str">
        <f t="shared" ca="1" si="12"/>
        <v>JP</v>
      </c>
      <c r="T88" s="215" t="str">
        <f ca="1">IF(B88="","",IF(ISERROR(MATCH($J88,SorP!$B$1:$B$6230,0)),"",INDIRECT("'SorP'!$A$"&amp;MATCH($J88,SorP!$B$1:$B$6230,0))))</f>
        <v>JP-11</v>
      </c>
      <c r="U88" s="231"/>
      <c r="V88" s="262">
        <f>IF(C88="",NA(),IF(OR(C88="Smelter not listed",C88="Smelter not yet identified"),MATCH($B88&amp;$D88,'Smelter Look-up'!$J:$J,0),MATCH($B88&amp;$C88,'Smelter Look-up'!$J:$J,0)))</f>
        <v>73</v>
      </c>
      <c r="W88" s="263"/>
      <c r="X88" s="263">
        <f t="shared" si="13"/>
        <v>0</v>
      </c>
      <c r="Y88" s="263"/>
      <c r="Z88" s="263"/>
      <c r="AB88" s="265" t="str">
        <f t="shared" si="14"/>
        <v>GoldEco-System Recycling Co., Ltd. East Plant</v>
      </c>
    </row>
    <row r="89" spans="1:28" s="264" customFormat="1" ht="51">
      <c r="A89" s="207" t="s">
        <v>1715</v>
      </c>
      <c r="B89" s="208" t="s">
        <v>1130</v>
      </c>
      <c r="C89" s="356" t="s">
        <v>1714</v>
      </c>
      <c r="D89" s="270"/>
      <c r="E89" s="208" t="s">
        <v>1092</v>
      </c>
      <c r="F89" s="208" t="s">
        <v>1715</v>
      </c>
      <c r="G89" s="208" t="s">
        <v>13320</v>
      </c>
      <c r="H89" s="357">
        <v>0</v>
      </c>
      <c r="I89" s="358" t="s">
        <v>1713</v>
      </c>
      <c r="J89" s="358" t="s">
        <v>2597</v>
      </c>
      <c r="K89" s="359"/>
      <c r="L89" s="359"/>
      <c r="M89" s="359"/>
      <c r="N89" s="359" t="s">
        <v>15773</v>
      </c>
      <c r="O89" s="359" t="s">
        <v>15773</v>
      </c>
      <c r="P89" s="360" t="s">
        <v>489</v>
      </c>
      <c r="Q89" s="361" t="s">
        <v>15768</v>
      </c>
      <c r="R89" s="208" t="str">
        <f ca="1">IF(ISERROR($V89),"",OFFSET('Smelter Look-up'!$C$4,$V89-4,0)&amp;"")</f>
        <v>Emirates Gold DMCC</v>
      </c>
      <c r="S89" s="215" t="str">
        <f t="shared" ca="1" si="12"/>
        <v>AE</v>
      </c>
      <c r="T89" s="215" t="str">
        <f ca="1">IF(B89="","",IF(ISERROR(MATCH($J89,SorP!$B$1:$B$6230,0)),"",INDIRECT("'SorP'!$A$"&amp;MATCH($J89,SorP!$B$1:$B$6230,0))))</f>
        <v>AE-DU</v>
      </c>
      <c r="U89" s="231"/>
      <c r="V89" s="262">
        <f>IF(C89="",NA(),IF(OR(C89="Smelter not listed",C89="Smelter not yet identified"),MATCH($B89&amp;$D89,'Smelter Look-up'!$J:$J,0),MATCH($B89&amp;$C89,'Smelter Look-up'!$J:$J,0)))</f>
        <v>81</v>
      </c>
      <c r="W89" s="263"/>
      <c r="X89" s="263">
        <f t="shared" si="13"/>
        <v>0</v>
      </c>
      <c r="Y89" s="263"/>
      <c r="Z89" s="263"/>
      <c r="AB89" s="265" t="str">
        <f t="shared" si="14"/>
        <v>GoldEmirates Gold DMCC</v>
      </c>
    </row>
    <row r="90" spans="1:28" s="264" customFormat="1" ht="51">
      <c r="A90" s="207" t="s">
        <v>1702</v>
      </c>
      <c r="B90" s="208" t="s">
        <v>1130</v>
      </c>
      <c r="C90" s="356" t="s">
        <v>1701</v>
      </c>
      <c r="D90" s="270"/>
      <c r="E90" s="208" t="s">
        <v>2456</v>
      </c>
      <c r="F90" s="208" t="s">
        <v>1702</v>
      </c>
      <c r="G90" s="208" t="s">
        <v>13320</v>
      </c>
      <c r="H90" s="357">
        <v>0</v>
      </c>
      <c r="I90" s="358" t="s">
        <v>1545</v>
      </c>
      <c r="J90" s="358" t="s">
        <v>1546</v>
      </c>
      <c r="K90" s="359"/>
      <c r="L90" s="359"/>
      <c r="M90" s="359"/>
      <c r="N90" s="359" t="s">
        <v>15770</v>
      </c>
      <c r="O90" s="359" t="s">
        <v>15770</v>
      </c>
      <c r="P90" s="360" t="s">
        <v>488</v>
      </c>
      <c r="Q90" s="361" t="s">
        <v>15768</v>
      </c>
      <c r="R90" s="208" t="str">
        <f ca="1">IF(ISERROR($V90),"",OFFSET('Smelter Look-up'!$C$4,$V90-4,0)&amp;"")</f>
        <v>Geib Refining Corporation</v>
      </c>
      <c r="S90" s="215" t="str">
        <f t="shared" ca="1" si="12"/>
        <v>US</v>
      </c>
      <c r="T90" s="215" t="str">
        <f ca="1">IF(B90="","",IF(ISERROR(MATCH($J90,SorP!$B$1:$B$6230,0)),"",INDIRECT("'SorP'!$A$"&amp;MATCH($J90,SorP!$B$1:$B$6230,0))))</f>
        <v>US-RI</v>
      </c>
      <c r="U90" s="231"/>
      <c r="V90" s="262">
        <f>IF(C90="",NA(),IF(OR(C90="Smelter not listed",C90="Smelter not yet identified"),MATCH($B90&amp;$D90,'Smelter Look-up'!$J:$J,0),MATCH($B90&amp;$C90,'Smelter Look-up'!$J:$J,0)))</f>
        <v>88</v>
      </c>
      <c r="W90" s="263"/>
      <c r="X90" s="263">
        <f t="shared" si="13"/>
        <v>0</v>
      </c>
      <c r="Y90" s="263"/>
      <c r="Z90" s="263"/>
      <c r="AB90" s="265" t="str">
        <f t="shared" si="14"/>
        <v>GoldGeib Refining Corporation</v>
      </c>
    </row>
    <row r="91" spans="1:28" s="264" customFormat="1" ht="89.25">
      <c r="A91" s="207" t="s">
        <v>746</v>
      </c>
      <c r="B91" s="208" t="s">
        <v>1130</v>
      </c>
      <c r="C91" s="356" t="s">
        <v>2520</v>
      </c>
      <c r="D91" s="270"/>
      <c r="E91" s="208" t="s">
        <v>1100</v>
      </c>
      <c r="F91" s="208" t="s">
        <v>746</v>
      </c>
      <c r="G91" s="208" t="s">
        <v>13320</v>
      </c>
      <c r="H91" s="357">
        <v>0</v>
      </c>
      <c r="I91" s="358" t="s">
        <v>1697</v>
      </c>
      <c r="J91" s="358" t="s">
        <v>13698</v>
      </c>
      <c r="K91" s="359"/>
      <c r="L91" s="359"/>
      <c r="M91" s="359"/>
      <c r="N91" s="359" t="s">
        <v>15772</v>
      </c>
      <c r="O91" s="359" t="s">
        <v>15772</v>
      </c>
      <c r="P91" s="360" t="s">
        <v>490</v>
      </c>
      <c r="Q91" s="361" t="s">
        <v>15768</v>
      </c>
      <c r="R91" s="208" t="str">
        <f ca="1">IF(ISERROR($V91),"",OFFSET('Smelter Look-up'!$C$4,$V91-4,0)&amp;"")</f>
        <v>Gold Refinery of Zijin Mining Group Co., Ltd.</v>
      </c>
      <c r="S91" s="215" t="str">
        <f t="shared" ca="1" si="12"/>
        <v>CN</v>
      </c>
      <c r="T91" s="215" t="str">
        <f ca="1">IF(B91="","",IF(ISERROR(MATCH($J91,SorP!$B$1:$B$6230,0)),"",INDIRECT("'SorP'!$A$"&amp;MATCH($J91,SorP!$B$1:$B$6230,0))))</f>
        <v>CN-FJ</v>
      </c>
      <c r="U91" s="231"/>
      <c r="V91" s="262">
        <f>IF(C91="",NA(),IF(OR(C91="Smelter not listed",C91="Smelter not yet identified"),MATCH($B91&amp;$D91,'Smelter Look-up'!$J:$J,0),MATCH($B91&amp;$C91,'Smelter Look-up'!$J:$J,0)))</f>
        <v>93</v>
      </c>
      <c r="W91" s="263"/>
      <c r="X91" s="263">
        <f t="shared" si="13"/>
        <v>0</v>
      </c>
      <c r="Y91" s="263"/>
      <c r="Z91" s="263"/>
      <c r="AB91" s="265" t="str">
        <f t="shared" si="14"/>
        <v>GoldGold Refinery of Zijin Mining Group Co., Ltd.</v>
      </c>
    </row>
    <row r="92" spans="1:28" s="264" customFormat="1" ht="51">
      <c r="A92" s="207" t="s">
        <v>678</v>
      </c>
      <c r="B92" s="208" t="s">
        <v>1130</v>
      </c>
      <c r="C92" s="356" t="s">
        <v>1039</v>
      </c>
      <c r="D92" s="270"/>
      <c r="E92" s="208" t="s">
        <v>1101</v>
      </c>
      <c r="F92" s="208" t="s">
        <v>678</v>
      </c>
      <c r="G92" s="208" t="s">
        <v>13320</v>
      </c>
      <c r="H92" s="357">
        <v>0</v>
      </c>
      <c r="I92" s="358" t="s">
        <v>1549</v>
      </c>
      <c r="J92" s="358" t="s">
        <v>1550</v>
      </c>
      <c r="K92" s="359"/>
      <c r="L92" s="359"/>
      <c r="M92" s="359"/>
      <c r="N92" s="359" t="s">
        <v>15772</v>
      </c>
      <c r="O92" s="359" t="s">
        <v>15772</v>
      </c>
      <c r="P92" s="360" t="s">
        <v>490</v>
      </c>
      <c r="Q92" s="361" t="s">
        <v>15768</v>
      </c>
      <c r="R92" s="208" t="str">
        <f ca="1">IF(ISERROR($V92),"",OFFSET('Smelter Look-up'!$C$4,$V92-4,0)&amp;"")</f>
        <v>Heimerle + Meule GmbH</v>
      </c>
      <c r="S92" s="215" t="str">
        <f t="shared" ca="1" si="12"/>
        <v>DE</v>
      </c>
      <c r="T92" s="215" t="str">
        <f ca="1">IF(B92="","",IF(ISERROR(MATCH($J92,SorP!$B$1:$B$6230,0)),"",INDIRECT("'SorP'!$A$"&amp;MATCH($J92,SorP!$B$1:$B$6230,0))))</f>
        <v>DE-BW</v>
      </c>
      <c r="U92" s="231"/>
      <c r="V92" s="262">
        <f>IF(C92="",NA(),IF(OR(C92="Smelter not listed",C92="Smelter not yet identified"),MATCH($B92&amp;$D92,'Smelter Look-up'!$J:$J,0),MATCH($B92&amp;$C92,'Smelter Look-up'!$J:$J,0)))</f>
        <v>102</v>
      </c>
      <c r="W92" s="263"/>
      <c r="X92" s="263">
        <f t="shared" si="13"/>
        <v>0</v>
      </c>
      <c r="Y92" s="263"/>
      <c r="Z92" s="263"/>
      <c r="AB92" s="265" t="str">
        <f t="shared" si="14"/>
        <v>GoldHeimerle + Meule GmbH</v>
      </c>
    </row>
    <row r="93" spans="1:28" s="264" customFormat="1" ht="76.5">
      <c r="A93" s="207" t="s">
        <v>679</v>
      </c>
      <c r="B93" s="208" t="s">
        <v>1130</v>
      </c>
      <c r="C93" s="356" t="s">
        <v>2524</v>
      </c>
      <c r="D93" s="270"/>
      <c r="E93" s="208" t="s">
        <v>1100</v>
      </c>
      <c r="F93" s="208" t="s">
        <v>679</v>
      </c>
      <c r="G93" s="208" t="s">
        <v>13320</v>
      </c>
      <c r="H93" s="357">
        <v>0</v>
      </c>
      <c r="I93" s="358" t="s">
        <v>1595</v>
      </c>
      <c r="J93" s="358" t="s">
        <v>13923</v>
      </c>
      <c r="K93" s="359"/>
      <c r="L93" s="359"/>
      <c r="M93" s="359"/>
      <c r="N93" s="359" t="s">
        <v>15771</v>
      </c>
      <c r="O93" s="359" t="s">
        <v>15771</v>
      </c>
      <c r="P93" s="360" t="s">
        <v>490</v>
      </c>
      <c r="Q93" s="361" t="s">
        <v>15768</v>
      </c>
      <c r="R93" s="208" t="str">
        <f ca="1">IF(ISERROR($V93),"",OFFSET('Smelter Look-up'!$C$4,$V93-4,0)&amp;"")</f>
        <v>Heraeus Metals Hong Kong Ltd.</v>
      </c>
      <c r="S93" s="215" t="str">
        <f t="shared" ca="1" si="12"/>
        <v>CN</v>
      </c>
      <c r="T93" s="215" t="str">
        <f ca="1">IF(B93="","",IF(ISERROR(MATCH($J93,SorP!$B$1:$B$6230,0)),"",INDIRECT("'SorP'!$A$"&amp;MATCH($J93,SorP!$B$1:$B$6230,0))))</f>
        <v/>
      </c>
      <c r="U93" s="231"/>
      <c r="V93" s="262">
        <f>IF(C93="",NA(),IF(OR(C93="Smelter not listed",C93="Smelter not yet identified"),MATCH($B93&amp;$D93,'Smelter Look-up'!$J:$J,0),MATCH($B93&amp;$C93,'Smelter Look-up'!$J:$J,0)))</f>
        <v>108</v>
      </c>
      <c r="W93" s="263"/>
      <c r="X93" s="263">
        <f t="shared" si="13"/>
        <v>0</v>
      </c>
      <c r="Y93" s="263"/>
      <c r="Z93" s="263"/>
      <c r="AB93" s="265" t="str">
        <f t="shared" si="14"/>
        <v>GoldHeraeus Metals Hong Kong Ltd.</v>
      </c>
    </row>
    <row r="94" spans="1:28" s="264" customFormat="1" ht="153">
      <c r="A94" s="207" t="s">
        <v>683</v>
      </c>
      <c r="B94" s="208" t="s">
        <v>1130</v>
      </c>
      <c r="C94" s="356" t="s">
        <v>2320</v>
      </c>
      <c r="D94" s="270"/>
      <c r="E94" s="208" t="s">
        <v>1100</v>
      </c>
      <c r="F94" s="208" t="s">
        <v>683</v>
      </c>
      <c r="G94" s="208" t="s">
        <v>13320</v>
      </c>
      <c r="H94" s="357">
        <v>0</v>
      </c>
      <c r="I94" s="358" t="s">
        <v>1600</v>
      </c>
      <c r="J94" s="358" t="s">
        <v>13682</v>
      </c>
      <c r="K94" s="359"/>
      <c r="L94" s="359"/>
      <c r="M94" s="359"/>
      <c r="N94" s="359" t="s">
        <v>15772</v>
      </c>
      <c r="O94" s="359" t="s">
        <v>15772</v>
      </c>
      <c r="P94" s="360" t="s">
        <v>490</v>
      </c>
      <c r="Q94" s="361" t="s">
        <v>15768</v>
      </c>
      <c r="R94" s="208" t="str">
        <f ca="1">IF(ISERROR($V94),"",OFFSET('Smelter Look-up'!$C$4,$V94-4,0)&amp;"")</f>
        <v>Inner Mongolia Qiankun Gold and Silver Refinery Share Co., Ltd.</v>
      </c>
      <c r="S94" s="215" t="str">
        <f t="shared" ca="1" si="12"/>
        <v>CN</v>
      </c>
      <c r="T94" s="215" t="str">
        <f ca="1">IF(B94="","",IF(ISERROR(MATCH($J94,SorP!$B$1:$B$6230,0)),"",INDIRECT("'SorP'!$A$"&amp;MATCH($J94,SorP!$B$1:$B$6230,0))))</f>
        <v>CN-NM</v>
      </c>
      <c r="U94" s="231"/>
      <c r="V94" s="262">
        <f>IF(C94="",NA(),IF(OR(C94="Smelter not listed",C94="Smelter not yet identified"),MATCH($B94&amp;$D94,'Smelter Look-up'!$J:$J,0),MATCH($B94&amp;$C94,'Smelter Look-up'!$J:$J,0)))</f>
        <v>117</v>
      </c>
      <c r="W94" s="263"/>
      <c r="X94" s="263">
        <f t="shared" si="13"/>
        <v>0</v>
      </c>
      <c r="Y94" s="263"/>
      <c r="Z94" s="263"/>
      <c r="AB94" s="265" t="str">
        <f t="shared" si="14"/>
        <v>GoldInner Mongolia Qiankun Gold and Silver Refinery Share Co., Ltd.</v>
      </c>
    </row>
    <row r="95" spans="1:28" s="264" customFormat="1" ht="76.5">
      <c r="A95" s="207" t="s">
        <v>684</v>
      </c>
      <c r="B95" s="208" t="s">
        <v>1130</v>
      </c>
      <c r="C95" s="356" t="s">
        <v>1228</v>
      </c>
      <c r="D95" s="270"/>
      <c r="E95" s="208" t="s">
        <v>1108</v>
      </c>
      <c r="F95" s="208" t="s">
        <v>684</v>
      </c>
      <c r="G95" s="208" t="s">
        <v>13320</v>
      </c>
      <c r="H95" s="357">
        <v>0</v>
      </c>
      <c r="I95" s="358" t="s">
        <v>1601</v>
      </c>
      <c r="J95" s="358" t="s">
        <v>1587</v>
      </c>
      <c r="K95" s="359"/>
      <c r="L95" s="359"/>
      <c r="M95" s="359"/>
      <c r="N95" s="359" t="s">
        <v>15772</v>
      </c>
      <c r="O95" s="359" t="s">
        <v>15772</v>
      </c>
      <c r="P95" s="360" t="s">
        <v>490</v>
      </c>
      <c r="Q95" s="361" t="s">
        <v>15768</v>
      </c>
      <c r="R95" s="208" t="str">
        <f ca="1">IF(ISERROR($V95),"",OFFSET('Smelter Look-up'!$C$4,$V95-4,0)&amp;"")</f>
        <v>Ishifuku Metal Industry Co., Ltd.</v>
      </c>
      <c r="S95" s="215" t="str">
        <f t="shared" ca="1" si="12"/>
        <v>JP</v>
      </c>
      <c r="T95" s="215" t="str">
        <f ca="1">IF(B95="","",IF(ISERROR(MATCH($J95,SorP!$B$1:$B$6230,0)),"",INDIRECT("'SorP'!$A$"&amp;MATCH($J95,SorP!$B$1:$B$6230,0))))</f>
        <v>JP-11</v>
      </c>
      <c r="U95" s="231"/>
      <c r="V95" s="262">
        <f>IF(C95="",NA(),IF(OR(C95="Smelter not listed",C95="Smelter not yet identified"),MATCH($B95&amp;$D95,'Smelter Look-up'!$J:$J,0),MATCH($B95&amp;$C95,'Smelter Look-up'!$J:$J,0)))</f>
        <v>119</v>
      </c>
      <c r="W95" s="263"/>
      <c r="X95" s="263">
        <f t="shared" si="13"/>
        <v>0</v>
      </c>
      <c r="Y95" s="263"/>
      <c r="Z95" s="263"/>
      <c r="AB95" s="265" t="str">
        <f t="shared" si="14"/>
        <v>GoldIshifuku Metal Industry Co., Ltd.</v>
      </c>
    </row>
    <row r="96" spans="1:28" s="264" customFormat="1" ht="51">
      <c r="A96" s="207" t="s">
        <v>685</v>
      </c>
      <c r="B96" s="208" t="s">
        <v>1130</v>
      </c>
      <c r="C96" s="356" t="s">
        <v>1235</v>
      </c>
      <c r="D96" s="270"/>
      <c r="E96" s="208" t="s">
        <v>889</v>
      </c>
      <c r="F96" s="208" t="s">
        <v>685</v>
      </c>
      <c r="G96" s="208" t="s">
        <v>13320</v>
      </c>
      <c r="H96" s="357">
        <v>0</v>
      </c>
      <c r="I96" s="358" t="s">
        <v>1602</v>
      </c>
      <c r="J96" s="358" t="s">
        <v>11347</v>
      </c>
      <c r="K96" s="359"/>
      <c r="L96" s="359"/>
      <c r="M96" s="359"/>
      <c r="N96" s="359" t="s">
        <v>15772</v>
      </c>
      <c r="O96" s="359" t="s">
        <v>15772</v>
      </c>
      <c r="P96" s="360" t="s">
        <v>490</v>
      </c>
      <c r="Q96" s="361" t="s">
        <v>15768</v>
      </c>
      <c r="R96" s="208" t="str">
        <f ca="1">IF(ISERROR($V96),"",OFFSET('Smelter Look-up'!$C$4,$V96-4,0)&amp;"")</f>
        <v>Istanbul Gold Refinery</v>
      </c>
      <c r="S96" s="215" t="str">
        <f t="shared" ca="1" si="12"/>
        <v>TR</v>
      </c>
      <c r="T96" s="215" t="str">
        <f ca="1">IF(B96="","",IF(ISERROR(MATCH($J96,SorP!$B$1:$B$6230,0)),"",INDIRECT("'SorP'!$A$"&amp;MATCH($J96,SorP!$B$1:$B$6230,0))))</f>
        <v>TR-34</v>
      </c>
      <c r="U96" s="231"/>
      <c r="V96" s="262">
        <f>IF(C96="",NA(),IF(OR(C96="Smelter not listed",C96="Smelter not yet identified"),MATCH($B96&amp;$D96,'Smelter Look-up'!$J:$J,0),MATCH($B96&amp;$C96,'Smelter Look-up'!$J:$J,0)))</f>
        <v>120</v>
      </c>
      <c r="W96" s="263"/>
      <c r="X96" s="263">
        <f t="shared" si="13"/>
        <v>0</v>
      </c>
      <c r="Y96" s="263"/>
      <c r="Z96" s="263"/>
      <c r="AB96" s="265" t="str">
        <f t="shared" si="14"/>
        <v>GoldIstanbul Gold Refinery</v>
      </c>
    </row>
    <row r="97" spans="1:28" s="264" customFormat="1" ht="25.5">
      <c r="A97" s="207" t="s">
        <v>2527</v>
      </c>
      <c r="B97" s="208" t="s">
        <v>1130</v>
      </c>
      <c r="C97" s="356" t="s">
        <v>2526</v>
      </c>
      <c r="D97" s="270"/>
      <c r="E97" s="208" t="s">
        <v>1107</v>
      </c>
      <c r="F97" s="208" t="s">
        <v>2527</v>
      </c>
      <c r="G97" s="208" t="s">
        <v>13320</v>
      </c>
      <c r="H97" s="357">
        <v>0</v>
      </c>
      <c r="I97" s="358" t="s">
        <v>1576</v>
      </c>
      <c r="J97" s="358" t="s">
        <v>6521</v>
      </c>
      <c r="K97" s="359"/>
      <c r="L97" s="359"/>
      <c r="M97" s="359"/>
      <c r="N97" s="359" t="s">
        <v>15767</v>
      </c>
      <c r="O97" s="359" t="s">
        <v>15767</v>
      </c>
      <c r="P97" s="360" t="s">
        <v>490</v>
      </c>
      <c r="Q97" s="361" t="s">
        <v>15768</v>
      </c>
      <c r="R97" s="208" t="str">
        <f ca="1">IF(ISERROR($V97),"",OFFSET('Smelter Look-up'!$C$4,$V97-4,0)&amp;"")</f>
        <v>Italpreziosi</v>
      </c>
      <c r="S97" s="215" t="str">
        <f t="shared" ca="1" si="12"/>
        <v>IT</v>
      </c>
      <c r="T97" s="215" t="str">
        <f ca="1">IF(B97="","",IF(ISERROR(MATCH($J97,SorP!$B$1:$B$6230,0)),"",INDIRECT("'SorP'!$A$"&amp;MATCH($J97,SorP!$B$1:$B$6230,0))))</f>
        <v>IT-52</v>
      </c>
      <c r="U97" s="231"/>
      <c r="V97" s="262">
        <f>IF(C97="",NA(),IF(OR(C97="Smelter not listed",C97="Smelter not yet identified"),MATCH($B97&amp;$D97,'Smelter Look-up'!$J:$J,0),MATCH($B97&amp;$C97,'Smelter Look-up'!$J:$J,0)))</f>
        <v>121</v>
      </c>
      <c r="W97" s="263"/>
      <c r="X97" s="263">
        <f t="shared" si="13"/>
        <v>0</v>
      </c>
      <c r="Y97" s="263"/>
      <c r="Z97" s="263"/>
      <c r="AB97" s="265" t="str">
        <f t="shared" si="14"/>
        <v>GoldItalpreziosi</v>
      </c>
    </row>
    <row r="98" spans="1:28" s="264" customFormat="1" ht="25.5">
      <c r="A98" s="207" t="s">
        <v>686</v>
      </c>
      <c r="B98" s="208" t="s">
        <v>1130</v>
      </c>
      <c r="C98" s="356" t="s">
        <v>908</v>
      </c>
      <c r="D98" s="270"/>
      <c r="E98" s="208" t="s">
        <v>1108</v>
      </c>
      <c r="F98" s="208" t="s">
        <v>686</v>
      </c>
      <c r="G98" s="208" t="s">
        <v>13320</v>
      </c>
      <c r="H98" s="357">
        <v>0</v>
      </c>
      <c r="I98" s="358" t="s">
        <v>1603</v>
      </c>
      <c r="J98" s="358" t="s">
        <v>1603</v>
      </c>
      <c r="K98" s="359"/>
      <c r="L98" s="359"/>
      <c r="M98" s="359"/>
      <c r="N98" s="359" t="s">
        <v>15772</v>
      </c>
      <c r="O98" s="359" t="s">
        <v>15772</v>
      </c>
      <c r="P98" s="360" t="s">
        <v>490</v>
      </c>
      <c r="Q98" s="361" t="s">
        <v>15768</v>
      </c>
      <c r="R98" s="208" t="str">
        <f ca="1">IF(ISERROR($V98),"",OFFSET('Smelter Look-up'!$C$4,$V98-4,0)&amp;"")</f>
        <v>Japan Mint</v>
      </c>
      <c r="S98" s="215" t="str">
        <f t="shared" ca="1" si="12"/>
        <v>JP</v>
      </c>
      <c r="T98" s="215" t="str">
        <f ca="1">IF(B98="","",IF(ISERROR(MATCH($J98,SorP!$B$1:$B$6230,0)),"",INDIRECT("'SorP'!$A$"&amp;MATCH($J98,SorP!$B$1:$B$6230,0))))</f>
        <v>JP-27</v>
      </c>
      <c r="U98" s="231"/>
      <c r="V98" s="262">
        <f>IF(C98="",NA(),IF(OR(C98="Smelter not listed",C98="Smelter not yet identified"),MATCH($B98&amp;$D98,'Smelter Look-up'!$J:$J,0),MATCH($B98&amp;$C98,'Smelter Look-up'!$J:$J,0)))</f>
        <v>123</v>
      </c>
      <c r="W98" s="263"/>
      <c r="X98" s="263">
        <f t="shared" si="13"/>
        <v>0</v>
      </c>
      <c r="Y98" s="263"/>
      <c r="Z98" s="263"/>
      <c r="AB98" s="265" t="str">
        <f t="shared" si="14"/>
        <v>GoldJapan Mint</v>
      </c>
    </row>
    <row r="99" spans="1:28" s="264" customFormat="1" ht="63.75">
      <c r="A99" s="207" t="s">
        <v>687</v>
      </c>
      <c r="B99" s="208" t="s">
        <v>1130</v>
      </c>
      <c r="C99" s="356" t="s">
        <v>2321</v>
      </c>
      <c r="D99" s="270"/>
      <c r="E99" s="208" t="s">
        <v>1100</v>
      </c>
      <c r="F99" s="208" t="s">
        <v>687</v>
      </c>
      <c r="G99" s="208" t="s">
        <v>13320</v>
      </c>
      <c r="H99" s="357">
        <v>0</v>
      </c>
      <c r="I99" s="358" t="s">
        <v>1604</v>
      </c>
      <c r="J99" s="358" t="s">
        <v>13699</v>
      </c>
      <c r="K99" s="359"/>
      <c r="L99" s="359"/>
      <c r="M99" s="359"/>
      <c r="N99" s="359" t="s">
        <v>15772</v>
      </c>
      <c r="O99" s="359" t="s">
        <v>15772</v>
      </c>
      <c r="P99" s="360" t="s">
        <v>490</v>
      </c>
      <c r="Q99" s="361" t="s">
        <v>15768</v>
      </c>
      <c r="R99" s="208" t="str">
        <f ca="1">IF(ISERROR($V99),"",OFFSET('Smelter Look-up'!$C$4,$V99-4,0)&amp;"")</f>
        <v>Jiangxi Copper Co., Ltd.</v>
      </c>
      <c r="S99" s="215" t="str">
        <f t="shared" ca="1" si="12"/>
        <v>CN</v>
      </c>
      <c r="T99" s="215" t="str">
        <f ca="1">IF(B99="","",IF(ISERROR(MATCH($J99,SorP!$B$1:$B$6230,0)),"",INDIRECT("'SorP'!$A$"&amp;MATCH($J99,SorP!$B$1:$B$6230,0))))</f>
        <v>CN-JX</v>
      </c>
      <c r="U99" s="231"/>
      <c r="V99" s="262">
        <f>IF(C99="",NA(),IF(OR(C99="Smelter not listed",C99="Smelter not yet identified"),MATCH($B99&amp;$D99,'Smelter Look-up'!$J:$J,0),MATCH($B99&amp;$C99,'Smelter Look-up'!$J:$J,0)))</f>
        <v>125</v>
      </c>
      <c r="W99" s="263"/>
      <c r="X99" s="263">
        <f t="shared" si="13"/>
        <v>0</v>
      </c>
      <c r="Y99" s="263"/>
      <c r="Z99" s="263"/>
      <c r="AB99" s="265" t="str">
        <f t="shared" si="14"/>
        <v>GoldJiangxi Copper Co., Ltd.</v>
      </c>
    </row>
    <row r="100" spans="1:28" s="264" customFormat="1" ht="76.5">
      <c r="A100" s="207" t="s">
        <v>692</v>
      </c>
      <c r="B100" s="208" t="s">
        <v>1130</v>
      </c>
      <c r="C100" s="356" t="s">
        <v>55</v>
      </c>
      <c r="D100" s="270"/>
      <c r="E100" s="208" t="s">
        <v>1108</v>
      </c>
      <c r="F100" s="208" t="s">
        <v>692</v>
      </c>
      <c r="G100" s="208" t="s">
        <v>13320</v>
      </c>
      <c r="H100" s="357">
        <v>0</v>
      </c>
      <c r="I100" s="358" t="s">
        <v>2386</v>
      </c>
      <c r="J100" s="358" t="s">
        <v>6715</v>
      </c>
      <c r="K100" s="359"/>
      <c r="L100" s="359"/>
      <c r="M100" s="359"/>
      <c r="N100" s="359" t="s">
        <v>15772</v>
      </c>
      <c r="O100" s="359" t="s">
        <v>15772</v>
      </c>
      <c r="P100" s="360" t="s">
        <v>490</v>
      </c>
      <c r="Q100" s="361" t="s">
        <v>15768</v>
      </c>
      <c r="R100" s="208" t="str">
        <f ca="1">IF(ISERROR($V100),"",OFFSET('Smelter Look-up'!$C$4,$V100-4,0)&amp;"")</f>
        <v>JX Nippon Mining &amp; Metals Co., Ltd.</v>
      </c>
      <c r="S100" s="215" t="str">
        <f t="shared" ca="1" si="12"/>
        <v>JP</v>
      </c>
      <c r="T100" s="215" t="str">
        <f ca="1">IF(B100="","",IF(ISERROR(MATCH($J100,SorP!$B$1:$B$6230,0)),"",INDIRECT("'SorP'!$A$"&amp;MATCH($J100,SorP!$B$1:$B$6230,0))))</f>
        <v>JP-44</v>
      </c>
      <c r="U100" s="231"/>
      <c r="V100" s="262">
        <f>IF(C100="",NA(),IF(OR(C100="Smelter not listed",C100="Smelter not yet identified"),MATCH($B100&amp;$D100,'Smelter Look-up'!$J:$J,0),MATCH($B100&amp;$C100,'Smelter Look-up'!$J:$J,0)))</f>
        <v>133</v>
      </c>
      <c r="W100" s="263"/>
      <c r="X100" s="263">
        <f t="shared" si="13"/>
        <v>0</v>
      </c>
      <c r="Y100" s="263"/>
      <c r="Z100" s="263"/>
      <c r="AB100" s="265" t="str">
        <f t="shared" si="14"/>
        <v>GoldJX Nippon Mining &amp; Metals Co., Ltd.</v>
      </c>
    </row>
    <row r="101" spans="1:28" s="264" customFormat="1" ht="25.5">
      <c r="A101" s="207" t="s">
        <v>693</v>
      </c>
      <c r="B101" s="208" t="s">
        <v>1130</v>
      </c>
      <c r="C101" s="356" t="s">
        <v>1612</v>
      </c>
      <c r="D101" s="270"/>
      <c r="E101" s="208" t="s">
        <v>1109</v>
      </c>
      <c r="F101" s="208" t="s">
        <v>693</v>
      </c>
      <c r="G101" s="208" t="s">
        <v>13320</v>
      </c>
      <c r="H101" s="357">
        <v>0</v>
      </c>
      <c r="I101" s="358" t="s">
        <v>1613</v>
      </c>
      <c r="J101" s="358" t="s">
        <v>7109</v>
      </c>
      <c r="K101" s="359"/>
      <c r="L101" s="359"/>
      <c r="M101" s="359"/>
      <c r="N101" s="359" t="s">
        <v>15772</v>
      </c>
      <c r="O101" s="359" t="s">
        <v>15772</v>
      </c>
      <c r="P101" s="360" t="s">
        <v>490</v>
      </c>
      <c r="Q101" s="361" t="s">
        <v>15768</v>
      </c>
      <c r="R101" s="208" t="str">
        <f ca="1">IF(ISERROR($V101),"",OFFSET('Smelter Look-up'!$C$4,$V101-4,0)&amp;"")</f>
        <v>Kazzinc</v>
      </c>
      <c r="S101" s="215" t="str">
        <f t="shared" ca="1" si="12"/>
        <v>KZ</v>
      </c>
      <c r="T101" s="215" t="str">
        <f ca="1">IF(B101="","",IF(ISERROR(MATCH($J101,SorP!$B$1:$B$6230,0)),"",INDIRECT("'SorP'!$A$"&amp;MATCH($J101,SorP!$B$1:$B$6230,0))))</f>
        <v>KZ-KAR</v>
      </c>
      <c r="U101" s="231"/>
      <c r="V101" s="262">
        <f>IF(C101="",NA(),IF(OR(C101="Smelter not listed",C101="Smelter not yet identified"),MATCH($B101&amp;$D101,'Smelter Look-up'!$J:$J,0),MATCH($B101&amp;$C101,'Smelter Look-up'!$J:$J,0)))</f>
        <v>137</v>
      </c>
      <c r="W101" s="263"/>
      <c r="X101" s="263">
        <f t="shared" si="13"/>
        <v>0</v>
      </c>
      <c r="Y101" s="263"/>
      <c r="Z101" s="263"/>
      <c r="AB101" s="265" t="str">
        <f t="shared" si="14"/>
        <v>GoldKazzinc</v>
      </c>
    </row>
    <row r="102" spans="1:28" s="264" customFormat="1" ht="63.75">
      <c r="A102" s="207" t="s">
        <v>695</v>
      </c>
      <c r="B102" s="208" t="s">
        <v>1130</v>
      </c>
      <c r="C102" s="356" t="s">
        <v>694</v>
      </c>
      <c r="D102" s="270"/>
      <c r="E102" s="208" t="s">
        <v>2456</v>
      </c>
      <c r="F102" s="208" t="s">
        <v>695</v>
      </c>
      <c r="G102" s="208" t="s">
        <v>13320</v>
      </c>
      <c r="H102" s="357">
        <v>0</v>
      </c>
      <c r="I102" s="358" t="s">
        <v>1614</v>
      </c>
      <c r="J102" s="358" t="s">
        <v>1607</v>
      </c>
      <c r="K102" s="359"/>
      <c r="L102" s="359"/>
      <c r="M102" s="359"/>
      <c r="N102" s="359" t="s">
        <v>15772</v>
      </c>
      <c r="O102" s="359" t="s">
        <v>15772</v>
      </c>
      <c r="P102" s="360" t="s">
        <v>490</v>
      </c>
      <c r="Q102" s="361" t="s">
        <v>15768</v>
      </c>
      <c r="R102" s="208" t="str">
        <f ca="1">IF(ISERROR($V102),"",OFFSET('Smelter Look-up'!$C$4,$V102-4,0)&amp;"")</f>
        <v>Kennecott Utah Copper LLC</v>
      </c>
      <c r="S102" s="215" t="str">
        <f t="shared" ref="S102:S132" ca="1" si="15">IF(B102="","",IF(ISERROR(MATCH($E102,CL,0)),"Unknown",INDIRECT("'C'!$A$"&amp;MATCH($E102,CL,0)+1)))</f>
        <v>US</v>
      </c>
      <c r="T102" s="215" t="str">
        <f ca="1">IF(B102="","",IF(ISERROR(MATCH($J102,SorP!$B$1:$B$6230,0)),"",INDIRECT("'SorP'!$A$"&amp;MATCH($J102,SorP!$B$1:$B$6230,0))))</f>
        <v>US-UT</v>
      </c>
      <c r="U102" s="231"/>
      <c r="V102" s="262">
        <f>IF(C102="",NA(),IF(OR(C102="Smelter not listed",C102="Smelter not yet identified"),MATCH($B102&amp;$D102,'Smelter Look-up'!$J:$J,0),MATCH($B102&amp;$C102,'Smelter Look-up'!$J:$J,0)))</f>
        <v>138</v>
      </c>
      <c r="W102" s="263"/>
      <c r="X102" s="263">
        <f t="shared" ref="X102:X132" si="16">IF(AND(C102="Smelter not listed",OR(LEN(D102)=0,LEN(E102)=0)),1,0)</f>
        <v>0</v>
      </c>
      <c r="Y102" s="263"/>
      <c r="Z102" s="263"/>
      <c r="AB102" s="265" t="str">
        <f t="shared" ref="AB102:AB132" si="17">B102&amp;C102</f>
        <v>GoldKennecott Utah Copper LLC</v>
      </c>
    </row>
    <row r="103" spans="1:28" s="264" customFormat="1" ht="76.5">
      <c r="A103" s="207" t="s">
        <v>1389</v>
      </c>
      <c r="B103" s="208" t="s">
        <v>1130</v>
      </c>
      <c r="C103" s="356" t="s">
        <v>12785</v>
      </c>
      <c r="D103" s="270"/>
      <c r="E103" s="208" t="s">
        <v>882</v>
      </c>
      <c r="F103" s="208" t="s">
        <v>1389</v>
      </c>
      <c r="G103" s="208" t="s">
        <v>13320</v>
      </c>
      <c r="H103" s="357">
        <v>0</v>
      </c>
      <c r="I103" s="358" t="s">
        <v>1706</v>
      </c>
      <c r="J103" s="358" t="s">
        <v>9573</v>
      </c>
      <c r="K103" s="359"/>
      <c r="L103" s="359"/>
      <c r="M103" s="359"/>
      <c r="N103" s="359" t="s">
        <v>15772</v>
      </c>
      <c r="O103" s="359" t="s">
        <v>15772</v>
      </c>
      <c r="P103" s="360" t="s">
        <v>490</v>
      </c>
      <c r="Q103" s="361" t="s">
        <v>15768</v>
      </c>
      <c r="R103" s="208" t="str">
        <f ca="1">IF(ISERROR($V103),"",OFFSET('Smelter Look-up'!$C$4,$V103-4,0)&amp;"")</f>
        <v>KGHM Polska Miedz Spolka Akcyjna</v>
      </c>
      <c r="S103" s="215" t="str">
        <f t="shared" ca="1" si="15"/>
        <v>PL</v>
      </c>
      <c r="T103" s="215" t="str">
        <f ca="1">IF(B103="","",IF(ISERROR(MATCH($J103,SorP!$B$1:$B$6230,0)),"",INDIRECT("'SorP'!$A$"&amp;MATCH($J103,SorP!$B$1:$B$6230,0))))</f>
        <v>PL-02</v>
      </c>
      <c r="U103" s="231"/>
      <c r="V103" s="262">
        <f>IF(C103="",NA(),IF(OR(C103="Smelter not listed",C103="Smelter not yet identified"),MATCH($B103&amp;$D103,'Smelter Look-up'!$J:$J,0),MATCH($B103&amp;$C103,'Smelter Look-up'!$J:$J,0)))</f>
        <v>140</v>
      </c>
      <c r="W103" s="263"/>
      <c r="X103" s="263">
        <f t="shared" si="16"/>
        <v>0</v>
      </c>
      <c r="Y103" s="263"/>
      <c r="Z103" s="263"/>
      <c r="AB103" s="265" t="str">
        <f t="shared" si="17"/>
        <v>GoldKGHM Polska Miedz Spolka Akcyjna</v>
      </c>
    </row>
    <row r="104" spans="1:28" s="264" customFormat="1" ht="63.75">
      <c r="A104" s="207" t="s">
        <v>696</v>
      </c>
      <c r="B104" s="208" t="s">
        <v>1130</v>
      </c>
      <c r="C104" s="356" t="s">
        <v>2161</v>
      </c>
      <c r="D104" s="270"/>
      <c r="E104" s="208" t="s">
        <v>1108</v>
      </c>
      <c r="F104" s="208" t="s">
        <v>696</v>
      </c>
      <c r="G104" s="208" t="s">
        <v>13320</v>
      </c>
      <c r="H104" s="357">
        <v>0</v>
      </c>
      <c r="I104" s="358" t="s">
        <v>1615</v>
      </c>
      <c r="J104" s="358" t="s">
        <v>1587</v>
      </c>
      <c r="K104" s="359"/>
      <c r="L104" s="359"/>
      <c r="M104" s="359"/>
      <c r="N104" s="359" t="s">
        <v>15769</v>
      </c>
      <c r="O104" s="359" t="s">
        <v>15769</v>
      </c>
      <c r="P104" s="360" t="s">
        <v>489</v>
      </c>
      <c r="Q104" s="361" t="s">
        <v>15768</v>
      </c>
      <c r="R104" s="208" t="str">
        <f ca="1">IF(ISERROR($V104),"",OFFSET('Smelter Look-up'!$C$4,$V104-4,0)&amp;"")</f>
        <v>Kojima Chemicals Co., Ltd.</v>
      </c>
      <c r="S104" s="215" t="str">
        <f t="shared" ca="1" si="15"/>
        <v>JP</v>
      </c>
      <c r="T104" s="215" t="str">
        <f ca="1">IF(B104="","",IF(ISERROR(MATCH($J104,SorP!$B$1:$B$6230,0)),"",INDIRECT("'SorP'!$A$"&amp;MATCH($J104,SorP!$B$1:$B$6230,0))))</f>
        <v>JP-11</v>
      </c>
      <c r="U104" s="231"/>
      <c r="V104" s="262">
        <f>IF(C104="",NA(),IF(OR(C104="Smelter not listed",C104="Smelter not yet identified"),MATCH($B104&amp;$D104,'Smelter Look-up'!$J:$J,0),MATCH($B104&amp;$C104,'Smelter Look-up'!$J:$J,0)))</f>
        <v>142</v>
      </c>
      <c r="W104" s="263"/>
      <c r="X104" s="263">
        <f t="shared" si="16"/>
        <v>0</v>
      </c>
      <c r="Y104" s="263"/>
      <c r="Z104" s="263"/>
      <c r="AB104" s="265" t="str">
        <f t="shared" si="17"/>
        <v>GoldKojima Chemicals Co., Ltd.</v>
      </c>
    </row>
    <row r="105" spans="1:28" s="264" customFormat="1" ht="51">
      <c r="A105" s="207" t="s">
        <v>1723</v>
      </c>
      <c r="B105" s="208" t="s">
        <v>1130</v>
      </c>
      <c r="C105" s="356" t="s">
        <v>2324</v>
      </c>
      <c r="D105" s="270"/>
      <c r="E105" s="208" t="s">
        <v>1111</v>
      </c>
      <c r="F105" s="208" t="s">
        <v>1723</v>
      </c>
      <c r="G105" s="208" t="s">
        <v>13320</v>
      </c>
      <c r="H105" s="357">
        <v>0</v>
      </c>
      <c r="I105" s="358" t="s">
        <v>1724</v>
      </c>
      <c r="J105" s="358" t="s">
        <v>12956</v>
      </c>
      <c r="K105" s="359"/>
      <c r="L105" s="359"/>
      <c r="M105" s="359"/>
      <c r="N105" s="359"/>
      <c r="O105" s="359"/>
      <c r="P105" s="360" t="s">
        <v>489</v>
      </c>
      <c r="Q105" s="361" t="s">
        <v>15768</v>
      </c>
      <c r="R105" s="208" t="str">
        <f ca="1">IF(ISERROR($V105),"",OFFSET('Smelter Look-up'!$C$4,$V105-4,0)&amp;"")</f>
        <v>Korea Zinc Co., Ltd.</v>
      </c>
      <c r="S105" s="215" t="str">
        <f t="shared" ca="1" si="15"/>
        <v>KR</v>
      </c>
      <c r="T105" s="215" t="str">
        <f ca="1">IF(B105="","",IF(ISERROR(MATCH($J105,SorP!$B$1:$B$6230,0)),"",INDIRECT("'SorP'!$A$"&amp;MATCH($J105,SorP!$B$1:$B$6230,0))))</f>
        <v>KR-11</v>
      </c>
      <c r="U105" s="231"/>
      <c r="V105" s="262">
        <f>IF(C105="",NA(),IF(OR(C105="Smelter not listed",C105="Smelter not yet identified"),MATCH($B105&amp;$D105,'Smelter Look-up'!$J:$J,0),MATCH($B105&amp;$C105,'Smelter Look-up'!$J:$J,0)))</f>
        <v>145</v>
      </c>
      <c r="W105" s="263"/>
      <c r="X105" s="263">
        <f t="shared" si="16"/>
        <v>0</v>
      </c>
      <c r="Y105" s="263"/>
      <c r="Z105" s="263"/>
      <c r="AB105" s="265" t="str">
        <f t="shared" si="17"/>
        <v>GoldKorea Zinc Co., Ltd.</v>
      </c>
    </row>
    <row r="106" spans="1:28" s="264" customFormat="1" ht="38.25">
      <c r="A106" s="207" t="s">
        <v>2464</v>
      </c>
      <c r="B106" s="208" t="s">
        <v>1130</v>
      </c>
      <c r="C106" s="356" t="s">
        <v>2463</v>
      </c>
      <c r="D106" s="270"/>
      <c r="E106" s="208" t="s">
        <v>1091</v>
      </c>
      <c r="F106" s="208" t="s">
        <v>2464</v>
      </c>
      <c r="G106" s="208" t="s">
        <v>13320</v>
      </c>
      <c r="H106" s="357">
        <v>0</v>
      </c>
      <c r="I106" s="358" t="s">
        <v>2474</v>
      </c>
      <c r="J106" s="358" t="s">
        <v>2474</v>
      </c>
      <c r="K106" s="359"/>
      <c r="L106" s="359"/>
      <c r="M106" s="359"/>
      <c r="N106" s="359" t="s">
        <v>15773</v>
      </c>
      <c r="O106" s="359" t="s">
        <v>15773</v>
      </c>
      <c r="P106" s="360" t="s">
        <v>489</v>
      </c>
      <c r="Q106" s="361" t="s">
        <v>15768</v>
      </c>
      <c r="R106" s="208" t="str">
        <f ca="1">IF(ISERROR($V106),"",OFFSET('Smelter Look-up'!$C$4,$V106-4,0)&amp;"")</f>
        <v>L'Orfebre S.A.</v>
      </c>
      <c r="S106" s="215" t="str">
        <f t="shared" ca="1" si="15"/>
        <v>AD</v>
      </c>
      <c r="T106" s="215" t="str">
        <f ca="1">IF(B106="","",IF(ISERROR(MATCH($J106,SorP!$B$1:$B$6230,0)),"",INDIRECT("'SorP'!$A$"&amp;MATCH($J106,SorP!$B$1:$B$6230,0))))</f>
        <v>AD-07</v>
      </c>
      <c r="U106" s="231"/>
      <c r="V106" s="262">
        <f>IF(C106="",NA(),IF(OR(C106="Smelter not listed",C106="Smelter not yet identified"),MATCH($B106&amp;$D106,'Smelter Look-up'!$J:$J,0),MATCH($B106&amp;$C106,'Smelter Look-up'!$J:$J,0)))</f>
        <v>157</v>
      </c>
      <c r="W106" s="263"/>
      <c r="X106" s="263">
        <f t="shared" si="16"/>
        <v>0</v>
      </c>
      <c r="Y106" s="263"/>
      <c r="Z106" s="263"/>
      <c r="AB106" s="265" t="str">
        <f t="shared" si="17"/>
        <v>GoldL'Orfebre S.A.</v>
      </c>
    </row>
    <row r="107" spans="1:28" s="264" customFormat="1" ht="51">
      <c r="A107" s="207" t="s">
        <v>700</v>
      </c>
      <c r="B107" s="208" t="s">
        <v>1130</v>
      </c>
      <c r="C107" s="356" t="s">
        <v>56</v>
      </c>
      <c r="D107" s="270"/>
      <c r="E107" s="208" t="s">
        <v>1111</v>
      </c>
      <c r="F107" s="208" t="s">
        <v>700</v>
      </c>
      <c r="G107" s="208" t="s">
        <v>13320</v>
      </c>
      <c r="H107" s="357">
        <v>0</v>
      </c>
      <c r="I107" s="358" t="s">
        <v>1620</v>
      </c>
      <c r="J107" s="358" t="s">
        <v>12946</v>
      </c>
      <c r="K107" s="359"/>
      <c r="L107" s="359"/>
      <c r="M107" s="359"/>
      <c r="N107" s="359" t="s">
        <v>15772</v>
      </c>
      <c r="O107" s="359" t="s">
        <v>15772</v>
      </c>
      <c r="P107" s="360" t="s">
        <v>490</v>
      </c>
      <c r="Q107" s="361" t="s">
        <v>15768</v>
      </c>
      <c r="R107" s="208" t="str">
        <f ca="1">IF(ISERROR($V107),"",OFFSET('Smelter Look-up'!$C$4,$V107-4,0)&amp;"")</f>
        <v>LS-NIKKO Copper Inc.</v>
      </c>
      <c r="S107" s="215" t="str">
        <f t="shared" ca="1" si="15"/>
        <v>KR</v>
      </c>
      <c r="T107" s="215" t="str">
        <f ca="1">IF(B107="","",IF(ISERROR(MATCH($J107,SorP!$B$1:$B$6230,0)),"",INDIRECT("'SorP'!$A$"&amp;MATCH($J107,SorP!$B$1:$B$6230,0))))</f>
        <v>KR-31</v>
      </c>
      <c r="U107" s="231"/>
      <c r="V107" s="262">
        <f>IF(C107="",NA(),IF(OR(C107="Smelter not listed",C107="Smelter not yet identified"),MATCH($B107&amp;$D107,'Smelter Look-up'!$J:$J,0),MATCH($B107&amp;$C107,'Smelter Look-up'!$J:$J,0)))</f>
        <v>158</v>
      </c>
      <c r="W107" s="263"/>
      <c r="X107" s="263">
        <f t="shared" si="16"/>
        <v>0</v>
      </c>
      <c r="Y107" s="263"/>
      <c r="Z107" s="263"/>
      <c r="AB107" s="265" t="str">
        <f t="shared" si="17"/>
        <v>GoldLS-NIKKO Copper Inc.</v>
      </c>
    </row>
    <row r="108" spans="1:28" s="264" customFormat="1" ht="38.25">
      <c r="A108" s="207" t="s">
        <v>2522</v>
      </c>
      <c r="B108" s="208" t="s">
        <v>1130</v>
      </c>
      <c r="C108" s="356" t="s">
        <v>13934</v>
      </c>
      <c r="D108" s="270"/>
      <c r="E108" s="208" t="s">
        <v>1111</v>
      </c>
      <c r="F108" s="208" t="s">
        <v>2522</v>
      </c>
      <c r="G108" s="208" t="s">
        <v>13320</v>
      </c>
      <c r="H108" s="357">
        <v>0</v>
      </c>
      <c r="I108" s="358" t="s">
        <v>2523</v>
      </c>
      <c r="J108" s="358" t="s">
        <v>12945</v>
      </c>
      <c r="K108" s="359"/>
      <c r="L108" s="359"/>
      <c r="M108" s="359"/>
      <c r="N108" s="359" t="s">
        <v>15769</v>
      </c>
      <c r="O108" s="359" t="s">
        <v>15769</v>
      </c>
      <c r="P108" s="360" t="s">
        <v>489</v>
      </c>
      <c r="Q108" s="361" t="s">
        <v>15768</v>
      </c>
      <c r="R108" s="208" t="str">
        <f ca="1">IF(ISERROR($V108),"",OFFSET('Smelter Look-up'!$C$4,$V108-4,0)&amp;"")</f>
        <v>LT Metal Ltd.</v>
      </c>
      <c r="S108" s="215" t="str">
        <f t="shared" ca="1" si="15"/>
        <v>KR</v>
      </c>
      <c r="T108" s="215" t="str">
        <f ca="1">IF(B108="","",IF(ISERROR(MATCH($J108,SorP!$B$1:$B$6230,0)),"",INDIRECT("'SorP'!$A$"&amp;MATCH($J108,SorP!$B$1:$B$6230,0))))</f>
        <v>KR-28</v>
      </c>
      <c r="U108" s="231"/>
      <c r="V108" s="262">
        <f>IF(C108="",NA(),IF(OR(C108="Smelter not listed",C108="Smelter not yet identified"),MATCH($B108&amp;$D108,'Smelter Look-up'!$J:$J,0),MATCH($B108&amp;$C108,'Smelter Look-up'!$J:$J,0)))</f>
        <v>159</v>
      </c>
      <c r="W108" s="263"/>
      <c r="X108" s="263">
        <f t="shared" si="16"/>
        <v>0</v>
      </c>
      <c r="Y108" s="263"/>
      <c r="Z108" s="263"/>
      <c r="AB108" s="265" t="str">
        <f t="shared" si="17"/>
        <v>GoldLT Metal Ltd.</v>
      </c>
    </row>
    <row r="109" spans="1:28" s="264" customFormat="1" ht="38.25">
      <c r="A109" s="207" t="s">
        <v>2533</v>
      </c>
      <c r="B109" s="208" t="s">
        <v>1130</v>
      </c>
      <c r="C109" s="356" t="s">
        <v>2532</v>
      </c>
      <c r="D109" s="270"/>
      <c r="E109" s="208" t="s">
        <v>1096</v>
      </c>
      <c r="F109" s="208" t="s">
        <v>2533</v>
      </c>
      <c r="G109" s="208" t="s">
        <v>13320</v>
      </c>
      <c r="H109" s="357">
        <v>0</v>
      </c>
      <c r="I109" s="358" t="s">
        <v>2534</v>
      </c>
      <c r="J109" s="358" t="s">
        <v>1682</v>
      </c>
      <c r="K109" s="359"/>
      <c r="L109" s="359"/>
      <c r="M109" s="359"/>
      <c r="N109" s="359" t="s">
        <v>15769</v>
      </c>
      <c r="O109" s="359" t="s">
        <v>15769</v>
      </c>
      <c r="P109" s="360" t="s">
        <v>489</v>
      </c>
      <c r="Q109" s="361" t="s">
        <v>15768</v>
      </c>
      <c r="R109" s="208" t="str">
        <f ca="1">IF(ISERROR($V109),"",OFFSET('Smelter Look-up'!$C$4,$V109-4,0)&amp;"")</f>
        <v>Marsam Metals</v>
      </c>
      <c r="S109" s="215" t="str">
        <f t="shared" ca="1" si="15"/>
        <v>BR</v>
      </c>
      <c r="T109" s="215" t="str">
        <f ca="1">IF(B109="","",IF(ISERROR(MATCH($J109,SorP!$B$1:$B$6230,0)),"",INDIRECT("'SorP'!$A$"&amp;MATCH($J109,SorP!$B$1:$B$6230,0))))</f>
        <v>BR-SP</v>
      </c>
      <c r="U109" s="231"/>
      <c r="V109" s="262">
        <f>IF(C109="",NA(),IF(OR(C109="Smelter not listed",C109="Smelter not yet identified"),MATCH($B109&amp;$D109,'Smelter Look-up'!$J:$J,0),MATCH($B109&amp;$C109,'Smelter Look-up'!$J:$J,0)))</f>
        <v>163</v>
      </c>
      <c r="W109" s="263"/>
      <c r="X109" s="263">
        <f t="shared" si="16"/>
        <v>0</v>
      </c>
      <c r="Y109" s="263"/>
      <c r="Z109" s="263"/>
      <c r="AB109" s="265" t="str">
        <f t="shared" si="17"/>
        <v>GoldMarsam Metals</v>
      </c>
    </row>
    <row r="110" spans="1:28" s="264" customFormat="1" ht="25.5">
      <c r="A110" s="207" t="s">
        <v>703</v>
      </c>
      <c r="B110" s="208" t="s">
        <v>1130</v>
      </c>
      <c r="C110" s="356" t="s">
        <v>910</v>
      </c>
      <c r="D110" s="270"/>
      <c r="E110" s="208" t="s">
        <v>2456</v>
      </c>
      <c r="F110" s="208" t="s">
        <v>703</v>
      </c>
      <c r="G110" s="208" t="s">
        <v>13320</v>
      </c>
      <c r="H110" s="357">
        <v>0</v>
      </c>
      <c r="I110" s="358" t="s">
        <v>1623</v>
      </c>
      <c r="J110" s="358" t="s">
        <v>1624</v>
      </c>
      <c r="K110" s="359"/>
      <c r="L110" s="359"/>
      <c r="M110" s="359"/>
      <c r="N110" s="359" t="s">
        <v>15769</v>
      </c>
      <c r="O110" s="359" t="s">
        <v>15769</v>
      </c>
      <c r="P110" s="360" t="s">
        <v>489</v>
      </c>
      <c r="Q110" s="361" t="s">
        <v>15768</v>
      </c>
      <c r="R110" s="208" t="str">
        <f ca="1">IF(ISERROR($V110),"",OFFSET('Smelter Look-up'!$C$4,$V110-4,0)&amp;"")</f>
        <v>Materion</v>
      </c>
      <c r="S110" s="215" t="str">
        <f t="shared" ca="1" si="15"/>
        <v>US</v>
      </c>
      <c r="T110" s="215" t="str">
        <f ca="1">IF(B110="","",IF(ISERROR(MATCH($J110,SorP!$B$1:$B$6230,0)),"",INDIRECT("'SorP'!$A$"&amp;MATCH($J110,SorP!$B$1:$B$6230,0))))</f>
        <v>US-NY</v>
      </c>
      <c r="U110" s="231"/>
      <c r="V110" s="262">
        <f>IF(C110="",NA(),IF(OR(C110="Smelter not listed",C110="Smelter not yet identified"),MATCH($B110&amp;$D110,'Smelter Look-up'!$J:$J,0),MATCH($B110&amp;$C110,'Smelter Look-up'!$J:$J,0)))</f>
        <v>164</v>
      </c>
      <c r="W110" s="263"/>
      <c r="X110" s="263">
        <f t="shared" si="16"/>
        <v>0</v>
      </c>
      <c r="Y110" s="263"/>
      <c r="Z110" s="263"/>
      <c r="AB110" s="265" t="str">
        <f t="shared" si="17"/>
        <v>GoldMaterion</v>
      </c>
    </row>
    <row r="111" spans="1:28" s="264" customFormat="1" ht="63.75">
      <c r="A111" s="207" t="s">
        <v>704</v>
      </c>
      <c r="B111" s="208" t="s">
        <v>1130</v>
      </c>
      <c r="C111" s="356" t="s">
        <v>57</v>
      </c>
      <c r="D111" s="270"/>
      <c r="E111" s="208" t="s">
        <v>1108</v>
      </c>
      <c r="F111" s="208" t="s">
        <v>704</v>
      </c>
      <c r="G111" s="208" t="s">
        <v>13320</v>
      </c>
      <c r="H111" s="357">
        <v>0</v>
      </c>
      <c r="I111" s="358" t="s">
        <v>1625</v>
      </c>
      <c r="J111" s="358" t="s">
        <v>1587</v>
      </c>
      <c r="K111" s="359"/>
      <c r="L111" s="359"/>
      <c r="M111" s="359"/>
      <c r="N111" s="359" t="s">
        <v>15772</v>
      </c>
      <c r="O111" s="359" t="s">
        <v>15772</v>
      </c>
      <c r="P111" s="360" t="s">
        <v>490</v>
      </c>
      <c r="Q111" s="361" t="s">
        <v>15768</v>
      </c>
      <c r="R111" s="208" t="str">
        <f ca="1">IF(ISERROR($V111),"",OFFSET('Smelter Look-up'!$C$4,$V111-4,0)&amp;"")</f>
        <v>Matsuda Sangyo Co., Ltd.</v>
      </c>
      <c r="S111" s="215" t="str">
        <f t="shared" ca="1" si="15"/>
        <v>JP</v>
      </c>
      <c r="T111" s="215" t="str">
        <f ca="1">IF(B111="","",IF(ISERROR(MATCH($J111,SorP!$B$1:$B$6230,0)),"",INDIRECT("'SorP'!$A$"&amp;MATCH($J111,SorP!$B$1:$B$6230,0))))</f>
        <v>JP-11</v>
      </c>
      <c r="U111" s="231"/>
      <c r="V111" s="262">
        <f>IF(C111="",NA(),IF(OR(C111="Smelter not listed",C111="Smelter not yet identified"),MATCH($B111&amp;$D111,'Smelter Look-up'!$J:$J,0),MATCH($B111&amp;$C111,'Smelter Look-up'!$J:$J,0)))</f>
        <v>165</v>
      </c>
      <c r="W111" s="263"/>
      <c r="X111" s="263">
        <f t="shared" si="16"/>
        <v>0</v>
      </c>
      <c r="Y111" s="263"/>
      <c r="Z111" s="263"/>
      <c r="AB111" s="265" t="str">
        <f t="shared" si="17"/>
        <v>GoldMatsuda Sangyo Co., Ltd.</v>
      </c>
    </row>
    <row r="112" spans="1:28" s="264" customFormat="1" ht="89.25">
      <c r="A112" s="207" t="s">
        <v>705</v>
      </c>
      <c r="B112" s="208" t="s">
        <v>1130</v>
      </c>
      <c r="C112" s="356" t="s">
        <v>2164</v>
      </c>
      <c r="D112" s="270"/>
      <c r="E112" s="208" t="s">
        <v>1100</v>
      </c>
      <c r="F112" s="208" t="s">
        <v>705</v>
      </c>
      <c r="G112" s="208" t="s">
        <v>13320</v>
      </c>
      <c r="H112" s="357">
        <v>0</v>
      </c>
      <c r="I112" s="358" t="s">
        <v>1628</v>
      </c>
      <c r="J112" s="358" t="s">
        <v>13923</v>
      </c>
      <c r="K112" s="359"/>
      <c r="L112" s="359"/>
      <c r="M112" s="359"/>
      <c r="N112" s="359" t="s">
        <v>15771</v>
      </c>
      <c r="O112" s="359" t="s">
        <v>15771</v>
      </c>
      <c r="P112" s="360" t="s">
        <v>490</v>
      </c>
      <c r="Q112" s="361" t="s">
        <v>15768</v>
      </c>
      <c r="R112" s="208" t="str">
        <f ca="1">IF(ISERROR($V112),"",OFFSET('Smelter Look-up'!$C$4,$V112-4,0)&amp;"")</f>
        <v>Metalor Technologies (Hong Kong) Ltd.</v>
      </c>
      <c r="S112" s="215" t="str">
        <f t="shared" ca="1" si="15"/>
        <v>CN</v>
      </c>
      <c r="T112" s="215" t="str">
        <f ca="1">IF(B112="","",IF(ISERROR(MATCH($J112,SorP!$B$1:$B$6230,0)),"",INDIRECT("'SorP'!$A$"&amp;MATCH($J112,SorP!$B$1:$B$6230,0))))</f>
        <v/>
      </c>
      <c r="U112" s="231"/>
      <c r="V112" s="262">
        <f>IF(C112="",NA(),IF(OR(C112="Smelter not listed",C112="Smelter not yet identified"),MATCH($B112&amp;$D112,'Smelter Look-up'!$J:$J,0),MATCH($B112&amp;$C112,'Smelter Look-up'!$J:$J,0)))</f>
        <v>173</v>
      </c>
      <c r="W112" s="263"/>
      <c r="X112" s="263">
        <f t="shared" si="16"/>
        <v>0</v>
      </c>
      <c r="Y112" s="263"/>
      <c r="Z112" s="263"/>
      <c r="AB112" s="265" t="str">
        <f t="shared" si="17"/>
        <v>GoldMetalor Technologies (Hong Kong) Ltd.</v>
      </c>
    </row>
    <row r="113" spans="1:28" s="264" customFormat="1" ht="102">
      <c r="A113" s="207" t="s">
        <v>706</v>
      </c>
      <c r="B113" s="208" t="s">
        <v>1130</v>
      </c>
      <c r="C113" s="356" t="s">
        <v>2165</v>
      </c>
      <c r="D113" s="270"/>
      <c r="E113" s="208" t="s">
        <v>886</v>
      </c>
      <c r="F113" s="208" t="s">
        <v>706</v>
      </c>
      <c r="G113" s="208" t="s">
        <v>13320</v>
      </c>
      <c r="H113" s="357">
        <v>0</v>
      </c>
      <c r="I113" s="358" t="s">
        <v>12802</v>
      </c>
      <c r="J113" s="358" t="s">
        <v>10374</v>
      </c>
      <c r="K113" s="359"/>
      <c r="L113" s="359"/>
      <c r="M113" s="359"/>
      <c r="N113" s="359" t="s">
        <v>15771</v>
      </c>
      <c r="O113" s="359" t="s">
        <v>15771</v>
      </c>
      <c r="P113" s="360" t="s">
        <v>490</v>
      </c>
      <c r="Q113" s="361" t="s">
        <v>15768</v>
      </c>
      <c r="R113" s="208" t="str">
        <f ca="1">IF(ISERROR($V113),"",OFFSET('Smelter Look-up'!$C$4,$V113-4,0)&amp;"")</f>
        <v>Metalor Technologies (Singapore) Pte., Ltd.</v>
      </c>
      <c r="S113" s="215" t="str">
        <f t="shared" ca="1" si="15"/>
        <v>SG</v>
      </c>
      <c r="T113" s="215" t="str">
        <f ca="1">IF(B113="","",IF(ISERROR(MATCH($J113,SorP!$B$1:$B$6230,0)),"",INDIRECT("'SorP'!$A$"&amp;MATCH($J113,SorP!$B$1:$B$6230,0))))</f>
        <v>SG-05</v>
      </c>
      <c r="U113" s="231"/>
      <c r="V113" s="262">
        <f>IF(C113="",NA(),IF(OR(C113="Smelter not listed",C113="Smelter not yet identified"),MATCH($B113&amp;$D113,'Smelter Look-up'!$J:$J,0),MATCH($B113&amp;$C113,'Smelter Look-up'!$J:$J,0)))</f>
        <v>174</v>
      </c>
      <c r="W113" s="263"/>
      <c r="X113" s="263">
        <f t="shared" si="16"/>
        <v>0</v>
      </c>
      <c r="Y113" s="263"/>
      <c r="Z113" s="263"/>
      <c r="AB113" s="265" t="str">
        <f t="shared" si="17"/>
        <v>GoldMetalor Technologies (Singapore) Pte., Ltd.</v>
      </c>
    </row>
    <row r="114" spans="1:28" s="264" customFormat="1" ht="76.5">
      <c r="A114" s="207" t="s">
        <v>1627</v>
      </c>
      <c r="B114" s="208" t="s">
        <v>1130</v>
      </c>
      <c r="C114" s="356" t="s">
        <v>1626</v>
      </c>
      <c r="D114" s="270"/>
      <c r="E114" s="208" t="s">
        <v>1100</v>
      </c>
      <c r="F114" s="208" t="s">
        <v>1627</v>
      </c>
      <c r="G114" s="208" t="s">
        <v>13320</v>
      </c>
      <c r="H114" s="357">
        <v>0</v>
      </c>
      <c r="I114" s="358" t="s">
        <v>2536</v>
      </c>
      <c r="J114" s="358" t="s">
        <v>13712</v>
      </c>
      <c r="K114" s="359"/>
      <c r="L114" s="359"/>
      <c r="M114" s="359"/>
      <c r="N114" s="359" t="s">
        <v>15767</v>
      </c>
      <c r="O114" s="359" t="s">
        <v>15767</v>
      </c>
      <c r="P114" s="360" t="s">
        <v>490</v>
      </c>
      <c r="Q114" s="361" t="s">
        <v>15768</v>
      </c>
      <c r="R114" s="208" t="str">
        <f ca="1">IF(ISERROR($V114),"",OFFSET('Smelter Look-up'!$C$4,$V114-4,0)&amp;"")</f>
        <v>Metalor Technologies (Suzhou) Ltd.</v>
      </c>
      <c r="S114" s="215" t="str">
        <f t="shared" ca="1" si="15"/>
        <v>CN</v>
      </c>
      <c r="T114" s="215" t="str">
        <f ca="1">IF(B114="","",IF(ISERROR(MATCH($J114,SorP!$B$1:$B$6230,0)),"",INDIRECT("'SorP'!$A$"&amp;MATCH($J114,SorP!$B$1:$B$6230,0))))</f>
        <v>CN-JS</v>
      </c>
      <c r="U114" s="231"/>
      <c r="V114" s="262">
        <f>IF(C114="",NA(),IF(OR(C114="Smelter not listed",C114="Smelter not yet identified"),MATCH($B114&amp;$D114,'Smelter Look-up'!$J:$J,0),MATCH($B114&amp;$C114,'Smelter Look-up'!$J:$J,0)))</f>
        <v>175</v>
      </c>
      <c r="W114" s="263"/>
      <c r="X114" s="263">
        <f t="shared" si="16"/>
        <v>0</v>
      </c>
      <c r="Y114" s="263"/>
      <c r="Z114" s="263"/>
      <c r="AB114" s="265" t="str">
        <f t="shared" si="17"/>
        <v>GoldMetalor Technologies (Suzhou) Ltd.</v>
      </c>
    </row>
    <row r="115" spans="1:28" s="264" customFormat="1" ht="63.75">
      <c r="A115" s="207" t="s">
        <v>707</v>
      </c>
      <c r="B115" s="208" t="s">
        <v>1130</v>
      </c>
      <c r="C115" s="356" t="s">
        <v>2327</v>
      </c>
      <c r="D115" s="270"/>
      <c r="E115" s="208" t="s">
        <v>1098</v>
      </c>
      <c r="F115" s="208" t="s">
        <v>707</v>
      </c>
      <c r="G115" s="208" t="s">
        <v>13320</v>
      </c>
      <c r="H115" s="357">
        <v>0</v>
      </c>
      <c r="I115" s="358" t="s">
        <v>1629</v>
      </c>
      <c r="J115" s="358" t="s">
        <v>1630</v>
      </c>
      <c r="K115" s="359"/>
      <c r="L115" s="359"/>
      <c r="M115" s="359"/>
      <c r="N115" s="359" t="s">
        <v>15771</v>
      </c>
      <c r="O115" s="359" t="s">
        <v>15771</v>
      </c>
      <c r="P115" s="360" t="s">
        <v>490</v>
      </c>
      <c r="Q115" s="361" t="s">
        <v>15768</v>
      </c>
      <c r="R115" s="208" t="str">
        <f ca="1">IF(ISERROR($V115),"",OFFSET('Smelter Look-up'!$C$4,$V115-4,0)&amp;"")</f>
        <v>Metalor Technologies S.A.</v>
      </c>
      <c r="S115" s="215" t="str">
        <f t="shared" ca="1" si="15"/>
        <v>CH</v>
      </c>
      <c r="T115" s="215" t="str">
        <f ca="1">IF(B115="","",IF(ISERROR(MATCH($J115,SorP!$B$1:$B$6230,0)),"",INDIRECT("'SorP'!$A$"&amp;MATCH($J115,SorP!$B$1:$B$6230,0))))</f>
        <v>CH-NE</v>
      </c>
      <c r="U115" s="231"/>
      <c r="V115" s="262">
        <f>IF(C115="",NA(),IF(OR(C115="Smelter not listed",C115="Smelter not yet identified"),MATCH($B115&amp;$D115,'Smelter Look-up'!$J:$J,0),MATCH($B115&amp;$C115,'Smelter Look-up'!$J:$J,0)))</f>
        <v>176</v>
      </c>
      <c r="W115" s="263"/>
      <c r="X115" s="263">
        <f t="shared" si="16"/>
        <v>0</v>
      </c>
      <c r="Y115" s="263"/>
      <c r="Z115" s="263"/>
      <c r="AB115" s="265" t="str">
        <f t="shared" si="17"/>
        <v>GoldMetalor Technologies S.A.</v>
      </c>
    </row>
    <row r="116" spans="1:28" s="264" customFormat="1" ht="63.75">
      <c r="A116" s="207" t="s">
        <v>708</v>
      </c>
      <c r="B116" s="208" t="s">
        <v>1130</v>
      </c>
      <c r="C116" s="356" t="s">
        <v>1229</v>
      </c>
      <c r="D116" s="270"/>
      <c r="E116" s="208" t="s">
        <v>2456</v>
      </c>
      <c r="F116" s="208" t="s">
        <v>708</v>
      </c>
      <c r="G116" s="208" t="s">
        <v>13320</v>
      </c>
      <c r="H116" s="357">
        <v>0</v>
      </c>
      <c r="I116" s="358" t="s">
        <v>1631</v>
      </c>
      <c r="J116" s="358" t="s">
        <v>1632</v>
      </c>
      <c r="K116" s="359"/>
      <c r="L116" s="359"/>
      <c r="M116" s="359"/>
      <c r="N116" s="359" t="s">
        <v>15771</v>
      </c>
      <c r="O116" s="359" t="s">
        <v>15771</v>
      </c>
      <c r="P116" s="360" t="s">
        <v>490</v>
      </c>
      <c r="Q116" s="361" t="s">
        <v>15768</v>
      </c>
      <c r="R116" s="208" t="str">
        <f ca="1">IF(ISERROR($V116),"",OFFSET('Smelter Look-up'!$C$4,$V116-4,0)&amp;"")</f>
        <v>Metalor USA Refining Corporation</v>
      </c>
      <c r="S116" s="215" t="str">
        <f t="shared" ca="1" si="15"/>
        <v>US</v>
      </c>
      <c r="T116" s="215" t="str">
        <f ca="1">IF(B116="","",IF(ISERROR(MATCH($J116,SorP!$B$1:$B$6230,0)),"",INDIRECT("'SorP'!$A$"&amp;MATCH($J116,SorP!$B$1:$B$6230,0))))</f>
        <v>US-MA</v>
      </c>
      <c r="U116" s="231"/>
      <c r="V116" s="262">
        <f>IF(C116="",NA(),IF(OR(C116="Smelter not listed",C116="Smelter not yet identified"),MATCH($B116&amp;$D116,'Smelter Look-up'!$J:$J,0),MATCH($B116&amp;$C116,'Smelter Look-up'!$J:$J,0)))</f>
        <v>177</v>
      </c>
      <c r="W116" s="263"/>
      <c r="X116" s="263">
        <f t="shared" si="16"/>
        <v>0</v>
      </c>
      <c r="Y116" s="263"/>
      <c r="Z116" s="263"/>
      <c r="AB116" s="265" t="str">
        <f t="shared" si="17"/>
        <v>GoldMetalor USA Refining Corporation</v>
      </c>
    </row>
    <row r="117" spans="1:28" s="264" customFormat="1" ht="89.25">
      <c r="A117" s="207" t="s">
        <v>709</v>
      </c>
      <c r="B117" s="208" t="s">
        <v>1130</v>
      </c>
      <c r="C117" s="356" t="s">
        <v>12508</v>
      </c>
      <c r="D117" s="270"/>
      <c r="E117" s="208" t="s">
        <v>1113</v>
      </c>
      <c r="F117" s="208" t="s">
        <v>709</v>
      </c>
      <c r="G117" s="208" t="s">
        <v>13320</v>
      </c>
      <c r="H117" s="357">
        <v>0</v>
      </c>
      <c r="I117" s="358" t="s">
        <v>1633</v>
      </c>
      <c r="J117" s="358" t="s">
        <v>12964</v>
      </c>
      <c r="K117" s="359"/>
      <c r="L117" s="359"/>
      <c r="M117" s="359"/>
      <c r="N117" s="359" t="s">
        <v>15772</v>
      </c>
      <c r="O117" s="359" t="s">
        <v>15772</v>
      </c>
      <c r="P117" s="360" t="s">
        <v>490</v>
      </c>
      <c r="Q117" s="361" t="s">
        <v>15768</v>
      </c>
      <c r="R117" s="208" t="str">
        <f ca="1">IF(ISERROR($V117),"",OFFSET('Smelter Look-up'!$C$4,$V117-4,0)&amp;"")</f>
        <v>Metalurgica Met-Mex Penoles S.A. De C.V.</v>
      </c>
      <c r="S117" s="215" t="str">
        <f t="shared" ca="1" si="15"/>
        <v>MX</v>
      </c>
      <c r="T117" s="215" t="str">
        <f ca="1">IF(B117="","",IF(ISERROR(MATCH($J117,SorP!$B$1:$B$6230,0)),"",INDIRECT("'SorP'!$A$"&amp;MATCH($J117,SorP!$B$1:$B$6230,0))))</f>
        <v>MX-COA</v>
      </c>
      <c r="U117" s="231"/>
      <c r="V117" s="262">
        <f>IF(C117="",NA(),IF(OR(C117="Smelter not listed",C117="Smelter not yet identified"),MATCH($B117&amp;$D117,'Smelter Look-up'!$J:$J,0),MATCH($B117&amp;$C117,'Smelter Look-up'!$J:$J,0)))</f>
        <v>178</v>
      </c>
      <c r="W117" s="263"/>
      <c r="X117" s="263">
        <f t="shared" si="16"/>
        <v>0</v>
      </c>
      <c r="Y117" s="263"/>
      <c r="Z117" s="263"/>
      <c r="AB117" s="265" t="str">
        <f t="shared" si="17"/>
        <v>GoldMetalurgica Met-Mex Penoles S.A. De C.V.</v>
      </c>
    </row>
    <row r="118" spans="1:28" s="264" customFormat="1" ht="76.5">
      <c r="A118" s="207" t="s">
        <v>710</v>
      </c>
      <c r="B118" s="208" t="s">
        <v>1130</v>
      </c>
      <c r="C118" s="356" t="s">
        <v>1164</v>
      </c>
      <c r="D118" s="270"/>
      <c r="E118" s="208" t="s">
        <v>1108</v>
      </c>
      <c r="F118" s="208" t="s">
        <v>710</v>
      </c>
      <c r="G118" s="208" t="s">
        <v>13320</v>
      </c>
      <c r="H118" s="357">
        <v>0</v>
      </c>
      <c r="I118" s="358" t="s">
        <v>15698</v>
      </c>
      <c r="J118" s="358" t="s">
        <v>2228</v>
      </c>
      <c r="K118" s="359"/>
      <c r="L118" s="359"/>
      <c r="M118" s="359"/>
      <c r="N118" s="359" t="s">
        <v>15772</v>
      </c>
      <c r="O118" s="359" t="s">
        <v>15772</v>
      </c>
      <c r="P118" s="360" t="s">
        <v>490</v>
      </c>
      <c r="Q118" s="361" t="s">
        <v>15768</v>
      </c>
      <c r="R118" s="208" t="str">
        <f ca="1">IF(ISERROR($V118),"",OFFSET('Smelter Look-up'!$C$4,$V118-4,0)&amp;"")</f>
        <v>Mitsubishi Materials Corporation</v>
      </c>
      <c r="S118" s="215" t="str">
        <f t="shared" ca="1" si="15"/>
        <v>JP</v>
      </c>
      <c r="T118" s="215" t="str">
        <f ca="1">IF(B118="","",IF(ISERROR(MATCH($J118,SorP!$B$1:$B$6230,0)),"",INDIRECT("'SorP'!$A$"&amp;MATCH($J118,SorP!$B$1:$B$6230,0))))</f>
        <v>JP-37</v>
      </c>
      <c r="U118" s="231"/>
      <c r="V118" s="262">
        <f>IF(C118="",NA(),IF(OR(C118="Smelter not listed",C118="Smelter not yet identified"),MATCH($B118&amp;$D118,'Smelter Look-up'!$J:$J,0),MATCH($B118&amp;$C118,'Smelter Look-up'!$J:$J,0)))</f>
        <v>182</v>
      </c>
      <c r="W118" s="263"/>
      <c r="X118" s="263">
        <f t="shared" si="16"/>
        <v>0</v>
      </c>
      <c r="Y118" s="263"/>
      <c r="Z118" s="263"/>
      <c r="AB118" s="265" t="str">
        <f t="shared" si="17"/>
        <v>GoldMitsubishi Materials Corporation</v>
      </c>
    </row>
    <row r="119" spans="1:28" s="264" customFormat="1" ht="89.25">
      <c r="A119" s="207" t="s">
        <v>711</v>
      </c>
      <c r="B119" s="208" t="s">
        <v>1130</v>
      </c>
      <c r="C119" s="356" t="s">
        <v>1230</v>
      </c>
      <c r="D119" s="270"/>
      <c r="E119" s="208" t="s">
        <v>1108</v>
      </c>
      <c r="F119" s="208" t="s">
        <v>711</v>
      </c>
      <c r="G119" s="208" t="s">
        <v>13320</v>
      </c>
      <c r="H119" s="357">
        <v>0</v>
      </c>
      <c r="I119" s="358" t="s">
        <v>1635</v>
      </c>
      <c r="J119" s="358" t="s">
        <v>1634</v>
      </c>
      <c r="K119" s="359"/>
      <c r="L119" s="359"/>
      <c r="M119" s="359"/>
      <c r="N119" s="359" t="s">
        <v>15772</v>
      </c>
      <c r="O119" s="359" t="s">
        <v>15772</v>
      </c>
      <c r="P119" s="360" t="s">
        <v>490</v>
      </c>
      <c r="Q119" s="361" t="s">
        <v>15768</v>
      </c>
      <c r="R119" s="208" t="str">
        <f ca="1">IF(ISERROR($V119),"",OFFSET('Smelter Look-up'!$C$4,$V119-4,0)&amp;"")</f>
        <v>Mitsui Mining and Smelting Co., Ltd.</v>
      </c>
      <c r="S119" s="215" t="str">
        <f t="shared" ca="1" si="15"/>
        <v>JP</v>
      </c>
      <c r="T119" s="215" t="str">
        <f ca="1">IF(B119="","",IF(ISERROR(MATCH($J119,SorP!$B$1:$B$6230,0)),"",INDIRECT("'SorP'!$A$"&amp;MATCH($J119,SorP!$B$1:$B$6230,0))))</f>
        <v>JP-34</v>
      </c>
      <c r="U119" s="231"/>
      <c r="V119" s="262">
        <f>IF(C119="",NA(),IF(OR(C119="Smelter not listed",C119="Smelter not yet identified"),MATCH($B119&amp;$D119,'Smelter Look-up'!$J:$J,0),MATCH($B119&amp;$C119,'Smelter Look-up'!$J:$J,0)))</f>
        <v>184</v>
      </c>
      <c r="W119" s="263"/>
      <c r="X119" s="263">
        <f t="shared" si="16"/>
        <v>0</v>
      </c>
      <c r="Y119" s="263"/>
      <c r="Z119" s="263"/>
      <c r="AB119" s="265" t="str">
        <f t="shared" si="17"/>
        <v>GoldMitsui Mining and Smelting Co., Ltd.</v>
      </c>
    </row>
    <row r="120" spans="1:28" s="264" customFormat="1" ht="76.5">
      <c r="A120" s="207" t="s">
        <v>1391</v>
      </c>
      <c r="B120" s="208" t="s">
        <v>1130</v>
      </c>
      <c r="C120" s="356" t="s">
        <v>2186</v>
      </c>
      <c r="D120" s="270"/>
      <c r="E120" s="208" t="s">
        <v>1106</v>
      </c>
      <c r="F120" s="208" t="s">
        <v>1391</v>
      </c>
      <c r="G120" s="208" t="s">
        <v>13320</v>
      </c>
      <c r="H120" s="357">
        <v>0</v>
      </c>
      <c r="I120" s="358" t="s">
        <v>1703</v>
      </c>
      <c r="J120" s="358" t="s">
        <v>1704</v>
      </c>
      <c r="K120" s="359"/>
      <c r="L120" s="359"/>
      <c r="M120" s="359"/>
      <c r="N120" s="359" t="s">
        <v>15772</v>
      </c>
      <c r="O120" s="359" t="s">
        <v>15772</v>
      </c>
      <c r="P120" s="360" t="s">
        <v>490</v>
      </c>
      <c r="Q120" s="361" t="s">
        <v>15768</v>
      </c>
      <c r="R120" s="208" t="str">
        <f ca="1">IF(ISERROR($V120),"",OFFSET('Smelter Look-up'!$C$4,$V120-4,0)&amp;"")</f>
        <v>MMTC-PAMP India Pvt., Ltd.</v>
      </c>
      <c r="S120" s="215" t="str">
        <f t="shared" ca="1" si="15"/>
        <v>IN</v>
      </c>
      <c r="T120" s="215" t="str">
        <f ca="1">IF(B120="","",IF(ISERROR(MATCH($J120,SorP!$B$1:$B$6230,0)),"",INDIRECT("'SorP'!$A$"&amp;MATCH($J120,SorP!$B$1:$B$6230,0))))</f>
        <v>IN-HR</v>
      </c>
      <c r="U120" s="231"/>
      <c r="V120" s="262">
        <f>IF(C120="",NA(),IF(OR(C120="Smelter not listed",C120="Smelter not yet identified"),MATCH($B120&amp;$D120,'Smelter Look-up'!$J:$J,0),MATCH($B120&amp;$C120,'Smelter Look-up'!$J:$J,0)))</f>
        <v>185</v>
      </c>
      <c r="W120" s="263"/>
      <c r="X120" s="263">
        <f t="shared" si="16"/>
        <v>0</v>
      </c>
      <c r="Y120" s="263"/>
      <c r="Z120" s="263"/>
      <c r="AB120" s="265" t="str">
        <f t="shared" si="17"/>
        <v>GoldMMTC-PAMP India Pvt., Ltd.</v>
      </c>
    </row>
    <row r="121" spans="1:28" s="264" customFormat="1" ht="76.5">
      <c r="A121" s="207" t="s">
        <v>713</v>
      </c>
      <c r="B121" s="208" t="s">
        <v>1130</v>
      </c>
      <c r="C121" s="356" t="s">
        <v>12510</v>
      </c>
      <c r="D121" s="270"/>
      <c r="E121" s="208" t="s">
        <v>889</v>
      </c>
      <c r="F121" s="208" t="s">
        <v>713</v>
      </c>
      <c r="G121" s="208" t="s">
        <v>13320</v>
      </c>
      <c r="H121" s="357">
        <v>0</v>
      </c>
      <c r="I121" s="358" t="s">
        <v>1638</v>
      </c>
      <c r="J121" s="358" t="s">
        <v>11347</v>
      </c>
      <c r="K121" s="359"/>
      <c r="L121" s="359"/>
      <c r="M121" s="359"/>
      <c r="N121" s="359" t="s">
        <v>15772</v>
      </c>
      <c r="O121" s="359" t="s">
        <v>15772</v>
      </c>
      <c r="P121" s="360" t="s">
        <v>490</v>
      </c>
      <c r="Q121" s="361" t="s">
        <v>15768</v>
      </c>
      <c r="R121" s="208" t="str">
        <f ca="1">IF(ISERROR($V121),"",OFFSET('Smelter Look-up'!$C$4,$V121-4,0)&amp;"")</f>
        <v>Nadir Metal Rafineri San. Ve Tic. A.S.</v>
      </c>
      <c r="S121" s="215" t="str">
        <f t="shared" ca="1" si="15"/>
        <v>TR</v>
      </c>
      <c r="T121" s="215" t="str">
        <f ca="1">IF(B121="","",IF(ISERROR(MATCH($J121,SorP!$B$1:$B$6230,0)),"",INDIRECT("'SorP'!$A$"&amp;MATCH($J121,SorP!$B$1:$B$6230,0))))</f>
        <v>TR-34</v>
      </c>
      <c r="U121" s="231"/>
      <c r="V121" s="262">
        <f>IF(C121="",NA(),IF(OR(C121="Smelter not listed",C121="Smelter not yet identified"),MATCH($B121&amp;$D121,'Smelter Look-up'!$J:$J,0),MATCH($B121&amp;$C121,'Smelter Look-up'!$J:$J,0)))</f>
        <v>189</v>
      </c>
      <c r="W121" s="263"/>
      <c r="X121" s="263">
        <f t="shared" si="16"/>
        <v>0</v>
      </c>
      <c r="Y121" s="263"/>
      <c r="Z121" s="263"/>
      <c r="AB121" s="265" t="str">
        <f t="shared" si="17"/>
        <v>GoldNadir Metal Rafineri San. Ve Tic. A.S.</v>
      </c>
    </row>
    <row r="122" spans="1:28" s="264" customFormat="1" ht="63.75">
      <c r="A122" s="207" t="s">
        <v>715</v>
      </c>
      <c r="B122" s="208" t="s">
        <v>1130</v>
      </c>
      <c r="C122" s="356" t="s">
        <v>2168</v>
      </c>
      <c r="D122" s="270"/>
      <c r="E122" s="208" t="s">
        <v>1108</v>
      </c>
      <c r="F122" s="208" t="s">
        <v>715</v>
      </c>
      <c r="G122" s="208" t="s">
        <v>13320</v>
      </c>
      <c r="H122" s="357">
        <v>0</v>
      </c>
      <c r="I122" s="358" t="s">
        <v>1640</v>
      </c>
      <c r="J122" s="358" t="s">
        <v>1641</v>
      </c>
      <c r="K122" s="359"/>
      <c r="L122" s="359"/>
      <c r="M122" s="359"/>
      <c r="N122" s="359" t="s">
        <v>15772</v>
      </c>
      <c r="O122" s="359" t="s">
        <v>15772</v>
      </c>
      <c r="P122" s="360" t="s">
        <v>490</v>
      </c>
      <c r="Q122" s="361" t="s">
        <v>15768</v>
      </c>
      <c r="R122" s="208" t="str">
        <f ca="1">IF(ISERROR($V122),"",OFFSET('Smelter Look-up'!$C$4,$V122-4,0)&amp;"")</f>
        <v>Nihon Material Co., Ltd.</v>
      </c>
      <c r="S122" s="215" t="str">
        <f t="shared" ca="1" si="15"/>
        <v>JP</v>
      </c>
      <c r="T122" s="215" t="str">
        <f ca="1">IF(B122="","",IF(ISERROR(MATCH($J122,SorP!$B$1:$B$6230,0)),"",INDIRECT("'SorP'!$A$"&amp;MATCH($J122,SorP!$B$1:$B$6230,0))))</f>
        <v>JP-12</v>
      </c>
      <c r="U122" s="231"/>
      <c r="V122" s="262">
        <f>IF(C122="",NA(),IF(OR(C122="Smelter not listed",C122="Smelter not yet identified"),MATCH($B122&amp;$D122,'Smelter Look-up'!$J:$J,0),MATCH($B122&amp;$C122,'Smelter Look-up'!$J:$J,0)))</f>
        <v>193</v>
      </c>
      <c r="W122" s="263"/>
      <c r="X122" s="263">
        <f t="shared" si="16"/>
        <v>0</v>
      </c>
      <c r="Y122" s="263"/>
      <c r="Z122" s="263"/>
      <c r="AB122" s="265" t="str">
        <f t="shared" si="17"/>
        <v>GoldNihon Material Co., Ltd.</v>
      </c>
    </row>
    <row r="123" spans="1:28" s="264" customFormat="1" ht="127.5">
      <c r="A123" s="207" t="s">
        <v>2222</v>
      </c>
      <c r="B123" s="208" t="s">
        <v>1130</v>
      </c>
      <c r="C123" s="356" t="s">
        <v>12514</v>
      </c>
      <c r="D123" s="270"/>
      <c r="E123" s="208" t="s">
        <v>1094</v>
      </c>
      <c r="F123" s="208" t="s">
        <v>2222</v>
      </c>
      <c r="G123" s="208" t="s">
        <v>13320</v>
      </c>
      <c r="H123" s="357">
        <v>0</v>
      </c>
      <c r="I123" s="358" t="s">
        <v>2223</v>
      </c>
      <c r="J123" s="358" t="s">
        <v>2828</v>
      </c>
      <c r="K123" s="359"/>
      <c r="L123" s="359"/>
      <c r="M123" s="359"/>
      <c r="N123" s="359" t="s">
        <v>15767</v>
      </c>
      <c r="O123" s="359" t="s">
        <v>15767</v>
      </c>
      <c r="P123" s="360" t="s">
        <v>490</v>
      </c>
      <c r="Q123" s="361" t="s">
        <v>15768</v>
      </c>
      <c r="R123" s="208" t="str">
        <f ca="1">IF(ISERROR($V123),"",OFFSET('Smelter Look-up'!$C$4,$V123-4,0)&amp;"")</f>
        <v>Ogussa Osterreichische Gold- und Silber-Scheideanstalt GmbH</v>
      </c>
      <c r="S123" s="215" t="str">
        <f t="shared" ca="1" si="15"/>
        <v>AT</v>
      </c>
      <c r="T123" s="215" t="str">
        <f ca="1">IF(B123="","",IF(ISERROR(MATCH($J123,SorP!$B$1:$B$6230,0)),"",INDIRECT("'SorP'!$A$"&amp;MATCH($J123,SorP!$B$1:$B$6230,0))))</f>
        <v>AT-9</v>
      </c>
      <c r="U123" s="231"/>
      <c r="V123" s="262">
        <f>IF(C123="",NA(),IF(OR(C123="Smelter not listed",C123="Smelter not yet identified"),MATCH($B123&amp;$D123,'Smelter Look-up'!$J:$J,0),MATCH($B123&amp;$C123,'Smelter Look-up'!$J:$J,0)))</f>
        <v>196</v>
      </c>
      <c r="W123" s="263"/>
      <c r="X123" s="263">
        <f t="shared" si="16"/>
        <v>0</v>
      </c>
      <c r="Y123" s="263"/>
      <c r="Z123" s="263"/>
      <c r="AB123" s="265" t="str">
        <f t="shared" si="17"/>
        <v>GoldOgussa Osterreichische Gold- und Silber-Scheideanstalt GmbH</v>
      </c>
    </row>
    <row r="124" spans="1:28" s="264" customFormat="1" ht="89.25">
      <c r="A124" s="207" t="s">
        <v>716</v>
      </c>
      <c r="B124" s="208" t="s">
        <v>1130</v>
      </c>
      <c r="C124" s="356" t="s">
        <v>2169</v>
      </c>
      <c r="D124" s="270"/>
      <c r="E124" s="208" t="s">
        <v>1108</v>
      </c>
      <c r="F124" s="208" t="s">
        <v>716</v>
      </c>
      <c r="G124" s="208" t="s">
        <v>13320</v>
      </c>
      <c r="H124" s="357">
        <v>0</v>
      </c>
      <c r="I124" s="358" t="s">
        <v>1643</v>
      </c>
      <c r="J124" s="358" t="s">
        <v>1644</v>
      </c>
      <c r="K124" s="359"/>
      <c r="L124" s="359"/>
      <c r="M124" s="359"/>
      <c r="N124" s="359" t="s">
        <v>15770</v>
      </c>
      <c r="O124" s="359" t="s">
        <v>15770</v>
      </c>
      <c r="P124" s="360" t="s">
        <v>488</v>
      </c>
      <c r="Q124" s="361" t="s">
        <v>15768</v>
      </c>
      <c r="R124" s="208" t="str">
        <f ca="1">IF(ISERROR($V124),"",OFFSET('Smelter Look-up'!$C$4,$V124-4,0)&amp;"")</f>
        <v>Ohura Precious Metal Industry Co., Ltd.</v>
      </c>
      <c r="S124" s="215" t="str">
        <f t="shared" ca="1" si="15"/>
        <v>JP</v>
      </c>
      <c r="T124" s="215" t="str">
        <f ca="1">IF(B124="","",IF(ISERROR(MATCH($J124,SorP!$B$1:$B$6230,0)),"",INDIRECT("'SorP'!$A$"&amp;MATCH($J124,SorP!$B$1:$B$6230,0))))</f>
        <v>JP-29</v>
      </c>
      <c r="U124" s="231"/>
      <c r="V124" s="262">
        <f>IF(C124="",NA(),IF(OR(C124="Smelter not listed",C124="Smelter not yet identified"),MATCH($B124&amp;$D124,'Smelter Look-up'!$J:$J,0),MATCH($B124&amp;$C124,'Smelter Look-up'!$J:$J,0)))</f>
        <v>198</v>
      </c>
      <c r="W124" s="263"/>
      <c r="X124" s="263">
        <f t="shared" si="16"/>
        <v>0</v>
      </c>
      <c r="Y124" s="263"/>
      <c r="Z124" s="263"/>
      <c r="AB124" s="265" t="str">
        <f t="shared" si="17"/>
        <v>GoldOhura Precious Metal Industry Co., Ltd.</v>
      </c>
    </row>
    <row r="125" spans="1:28" s="264" customFormat="1" ht="25.5">
      <c r="A125" s="207" t="s">
        <v>718</v>
      </c>
      <c r="B125" s="208" t="s">
        <v>1130</v>
      </c>
      <c r="C125" s="356" t="s">
        <v>2335</v>
      </c>
      <c r="D125" s="270"/>
      <c r="E125" s="208" t="s">
        <v>1098</v>
      </c>
      <c r="F125" s="208" t="s">
        <v>718</v>
      </c>
      <c r="G125" s="208" t="s">
        <v>13320</v>
      </c>
      <c r="H125" s="357">
        <v>0</v>
      </c>
      <c r="I125" s="358" t="s">
        <v>1647</v>
      </c>
      <c r="J125" s="358" t="s">
        <v>1556</v>
      </c>
      <c r="K125" s="359"/>
      <c r="L125" s="359"/>
      <c r="M125" s="359"/>
      <c r="N125" s="359" t="s">
        <v>15772</v>
      </c>
      <c r="O125" s="359" t="s">
        <v>15772</v>
      </c>
      <c r="P125" s="360" t="s">
        <v>490</v>
      </c>
      <c r="Q125" s="361" t="s">
        <v>15768</v>
      </c>
      <c r="R125" s="208" t="str">
        <f ca="1">IF(ISERROR($V125),"",OFFSET('Smelter Look-up'!$C$4,$V125-4,0)&amp;"")</f>
        <v>PAMP S.A.</v>
      </c>
      <c r="S125" s="215" t="str">
        <f t="shared" ca="1" si="15"/>
        <v>CH</v>
      </c>
      <c r="T125" s="215" t="str">
        <f ca="1">IF(B125="","",IF(ISERROR(MATCH($J125,SorP!$B$1:$B$6230,0)),"",INDIRECT("'SorP'!$A$"&amp;MATCH($J125,SorP!$B$1:$B$6230,0))))</f>
        <v>CH-TI</v>
      </c>
      <c r="U125" s="231"/>
      <c r="V125" s="262">
        <f>IF(C125="",NA(),IF(OR(C125="Smelter not listed",C125="Smelter not yet identified"),MATCH($B125&amp;$D125,'Smelter Look-up'!$J:$J,0),MATCH($B125&amp;$C125,'Smelter Look-up'!$J:$J,0)))</f>
        <v>202</v>
      </c>
      <c r="W125" s="263"/>
      <c r="X125" s="263">
        <f t="shared" si="16"/>
        <v>0</v>
      </c>
      <c r="Y125" s="263"/>
      <c r="Z125" s="263"/>
      <c r="AB125" s="265" t="str">
        <f t="shared" si="17"/>
        <v>GoldPAMP S.A.</v>
      </c>
    </row>
    <row r="126" spans="1:28" s="264" customFormat="1" ht="89.25">
      <c r="A126" s="207" t="s">
        <v>2538</v>
      </c>
      <c r="B126" s="208" t="s">
        <v>1130</v>
      </c>
      <c r="C126" s="356" t="s">
        <v>2537</v>
      </c>
      <c r="D126" s="270"/>
      <c r="E126" s="208" t="s">
        <v>1099</v>
      </c>
      <c r="F126" s="208" t="s">
        <v>2538</v>
      </c>
      <c r="G126" s="208" t="s">
        <v>13320</v>
      </c>
      <c r="H126" s="357">
        <v>0</v>
      </c>
      <c r="I126" s="358" t="s">
        <v>2539</v>
      </c>
      <c r="J126" s="358" t="s">
        <v>2540</v>
      </c>
      <c r="K126" s="359"/>
      <c r="L126" s="359"/>
      <c r="M126" s="359"/>
      <c r="N126" s="359"/>
      <c r="O126" s="359"/>
      <c r="P126" s="360" t="s">
        <v>489</v>
      </c>
      <c r="Q126" s="361" t="s">
        <v>15768</v>
      </c>
      <c r="R126" s="208" t="str">
        <f ca="1">IF(ISERROR($V126),"",OFFSET('Smelter Look-up'!$C$4,$V126-4,0)&amp;"")</f>
        <v>Planta Recuperadora de Metales SpA</v>
      </c>
      <c r="S126" s="215" t="str">
        <f t="shared" ca="1" si="15"/>
        <v>CL</v>
      </c>
      <c r="T126" s="215" t="str">
        <f ca="1">IF(B126="","",IF(ISERROR(MATCH($J126,SorP!$B$1:$B$6230,0)),"",INDIRECT("'SorP'!$A$"&amp;MATCH($J126,SorP!$B$1:$B$6230,0))))</f>
        <v>CL-AN</v>
      </c>
      <c r="U126" s="231"/>
      <c r="V126" s="262">
        <f>IF(C126="",NA(),IF(OR(C126="Smelter not listed",C126="Smelter not yet identified"),MATCH($B126&amp;$D126,'Smelter Look-up'!$J:$J,0),MATCH($B126&amp;$C126,'Smelter Look-up'!$J:$J,0)))</f>
        <v>208</v>
      </c>
      <c r="W126" s="263"/>
      <c r="X126" s="263">
        <f t="shared" si="16"/>
        <v>0</v>
      </c>
      <c r="Y126" s="263"/>
      <c r="Z126" s="263"/>
      <c r="AB126" s="265" t="str">
        <f t="shared" si="17"/>
        <v>GoldPlanta Recuperadora de Metales SpA</v>
      </c>
    </row>
    <row r="127" spans="1:28" s="264" customFormat="1" ht="76.5">
      <c r="A127" s="207" t="s">
        <v>721</v>
      </c>
      <c r="B127" s="208" t="s">
        <v>1130</v>
      </c>
      <c r="C127" s="356" t="s">
        <v>1232</v>
      </c>
      <c r="D127" s="270"/>
      <c r="E127" s="208" t="s">
        <v>1105</v>
      </c>
      <c r="F127" s="208" t="s">
        <v>721</v>
      </c>
      <c r="G127" s="208" t="s">
        <v>13320</v>
      </c>
      <c r="H127" s="357">
        <v>0</v>
      </c>
      <c r="I127" s="358" t="s">
        <v>1649</v>
      </c>
      <c r="J127" s="358" t="s">
        <v>6038</v>
      </c>
      <c r="K127" s="359"/>
      <c r="L127" s="359"/>
      <c r="M127" s="359"/>
      <c r="N127" s="359" t="s">
        <v>15772</v>
      </c>
      <c r="O127" s="359" t="s">
        <v>15772</v>
      </c>
      <c r="P127" s="360" t="s">
        <v>490</v>
      </c>
      <c r="Q127" s="361" t="s">
        <v>15768</v>
      </c>
      <c r="R127" s="208" t="str">
        <f ca="1">IF(ISERROR($V127),"",OFFSET('Smelter Look-up'!$C$4,$V127-4,0)&amp;"")</f>
        <v>PT Aneka Tambang (Persero) Tbk</v>
      </c>
      <c r="S127" s="215" t="str">
        <f t="shared" ca="1" si="15"/>
        <v>ID</v>
      </c>
      <c r="T127" s="215" t="str">
        <f ca="1">IF(B127="","",IF(ISERROR(MATCH($J127,SorP!$B$1:$B$6230,0)),"",INDIRECT("'SorP'!$A$"&amp;MATCH($J127,SorP!$B$1:$B$6230,0))))</f>
        <v>ID-JK</v>
      </c>
      <c r="U127" s="231"/>
      <c r="V127" s="262">
        <f>IF(C127="",NA(),IF(OR(C127="Smelter not listed",C127="Smelter not yet identified"),MATCH($B127&amp;$D127,'Smelter Look-up'!$J:$J,0),MATCH($B127&amp;$C127,'Smelter Look-up'!$J:$J,0)))</f>
        <v>211</v>
      </c>
      <c r="W127" s="263"/>
      <c r="X127" s="263">
        <f t="shared" si="16"/>
        <v>0</v>
      </c>
      <c r="Y127" s="263"/>
      <c r="Z127" s="263"/>
      <c r="AB127" s="265" t="str">
        <f t="shared" si="17"/>
        <v>GoldPT Aneka Tambang (Persero) Tbk</v>
      </c>
    </row>
    <row r="128" spans="1:28" s="264" customFormat="1" ht="38.25">
      <c r="A128" s="207" t="s">
        <v>722</v>
      </c>
      <c r="B128" s="208" t="s">
        <v>1130</v>
      </c>
      <c r="C128" s="356" t="s">
        <v>12511</v>
      </c>
      <c r="D128" s="270"/>
      <c r="E128" s="208" t="s">
        <v>1098</v>
      </c>
      <c r="F128" s="208" t="s">
        <v>722</v>
      </c>
      <c r="G128" s="208" t="s">
        <v>13320</v>
      </c>
      <c r="H128" s="357">
        <v>0</v>
      </c>
      <c r="I128" s="358" t="s">
        <v>1650</v>
      </c>
      <c r="J128" s="358" t="s">
        <v>1630</v>
      </c>
      <c r="K128" s="359"/>
      <c r="L128" s="359"/>
      <c r="M128" s="359"/>
      <c r="N128" s="359" t="s">
        <v>15772</v>
      </c>
      <c r="O128" s="359" t="s">
        <v>15772</v>
      </c>
      <c r="P128" s="360" t="s">
        <v>490</v>
      </c>
      <c r="Q128" s="361" t="s">
        <v>15768</v>
      </c>
      <c r="R128" s="208" t="str">
        <f ca="1">IF(ISERROR($V128),"",OFFSET('Smelter Look-up'!$C$4,$V128-4,0)&amp;"")</f>
        <v>PX Precinox S.A.</v>
      </c>
      <c r="S128" s="215" t="str">
        <f t="shared" ca="1" si="15"/>
        <v>CH</v>
      </c>
      <c r="T128" s="215" t="str">
        <f ca="1">IF(B128="","",IF(ISERROR(MATCH($J128,SorP!$B$1:$B$6230,0)),"",INDIRECT("'SorP'!$A$"&amp;MATCH($J128,SorP!$B$1:$B$6230,0))))</f>
        <v>CH-NE</v>
      </c>
      <c r="U128" s="231"/>
      <c r="V128" s="262">
        <f>IF(C128="",NA(),IF(OR(C128="Smelter not listed",C128="Smelter not yet identified"),MATCH($B128&amp;$D128,'Smelter Look-up'!$J:$J,0),MATCH($B128&amp;$C128,'Smelter Look-up'!$J:$J,0)))</f>
        <v>212</v>
      </c>
      <c r="W128" s="263"/>
      <c r="X128" s="263">
        <f t="shared" si="16"/>
        <v>0</v>
      </c>
      <c r="Y128" s="263"/>
      <c r="Z128" s="263"/>
      <c r="AB128" s="265" t="str">
        <f t="shared" si="17"/>
        <v>GoldPX Precinox S.A.</v>
      </c>
    </row>
    <row r="129" spans="1:28" s="264" customFormat="1" ht="63.75">
      <c r="A129" s="207" t="s">
        <v>723</v>
      </c>
      <c r="B129" s="208" t="s">
        <v>1130</v>
      </c>
      <c r="C129" s="356" t="s">
        <v>2172</v>
      </c>
      <c r="D129" s="270"/>
      <c r="E129" s="208" t="s">
        <v>893</v>
      </c>
      <c r="F129" s="208" t="s">
        <v>723</v>
      </c>
      <c r="G129" s="208" t="s">
        <v>13320</v>
      </c>
      <c r="H129" s="357">
        <v>0</v>
      </c>
      <c r="I129" s="358" t="s">
        <v>1651</v>
      </c>
      <c r="J129" s="358" t="s">
        <v>1652</v>
      </c>
      <c r="K129" s="359"/>
      <c r="L129" s="359"/>
      <c r="M129" s="359"/>
      <c r="N129" s="359" t="s">
        <v>15772</v>
      </c>
      <c r="O129" s="359" t="s">
        <v>15772</v>
      </c>
      <c r="P129" s="360" t="s">
        <v>490</v>
      </c>
      <c r="Q129" s="361" t="s">
        <v>15768</v>
      </c>
      <c r="R129" s="208" t="str">
        <f ca="1">IF(ISERROR($V129),"",OFFSET('Smelter Look-up'!$C$4,$V129-4,0)&amp;"")</f>
        <v>Rand Refinery (Pty) Ltd.</v>
      </c>
      <c r="S129" s="215" t="str">
        <f t="shared" ca="1" si="15"/>
        <v>ZA</v>
      </c>
      <c r="T129" s="215" t="str">
        <f ca="1">IF(B129="","",IF(ISERROR(MATCH($J129,SorP!$B$1:$B$6230,0)),"",INDIRECT("'SorP'!$A$"&amp;MATCH($J129,SorP!$B$1:$B$6230,0))))</f>
        <v>ZA-GP</v>
      </c>
      <c r="U129" s="231"/>
      <c r="V129" s="262">
        <f>IF(C129="",NA(),IF(OR(C129="Smelter not listed",C129="Smelter not yet identified"),MATCH($B129&amp;$D129,'Smelter Look-up'!$J:$J,0),MATCH($B129&amp;$C129,'Smelter Look-up'!$J:$J,0)))</f>
        <v>215</v>
      </c>
      <c r="W129" s="263"/>
      <c r="X129" s="263">
        <f t="shared" si="16"/>
        <v>0</v>
      </c>
      <c r="Y129" s="263"/>
      <c r="Z129" s="263"/>
      <c r="AB129" s="265" t="str">
        <f t="shared" si="17"/>
        <v>GoldRand Refinery (Pty) Ltd.</v>
      </c>
    </row>
    <row r="130" spans="1:28" s="264" customFormat="1" ht="51">
      <c r="A130" s="207" t="s">
        <v>2338</v>
      </c>
      <c r="B130" s="208" t="s">
        <v>1130</v>
      </c>
      <c r="C130" s="356" t="s">
        <v>13872</v>
      </c>
      <c r="D130" s="270"/>
      <c r="E130" s="208" t="s">
        <v>1116</v>
      </c>
      <c r="F130" s="208" t="s">
        <v>2338</v>
      </c>
      <c r="G130" s="208" t="s">
        <v>13320</v>
      </c>
      <c r="H130" s="357">
        <v>0</v>
      </c>
      <c r="I130" s="358" t="s">
        <v>2373</v>
      </c>
      <c r="J130" s="358" t="s">
        <v>8948</v>
      </c>
      <c r="K130" s="359"/>
      <c r="L130" s="359"/>
      <c r="M130" s="359"/>
      <c r="N130" s="359" t="s">
        <v>15770</v>
      </c>
      <c r="O130" s="359" t="s">
        <v>15770</v>
      </c>
      <c r="P130" s="360" t="s">
        <v>488</v>
      </c>
      <c r="Q130" s="361" t="s">
        <v>15768</v>
      </c>
      <c r="R130" s="208" t="str">
        <f ca="1">IF(ISERROR($V130),"",OFFSET('Smelter Look-up'!$C$4,$V130-4,0)&amp;"")</f>
        <v>REMONDIS PMR B.V.</v>
      </c>
      <c r="S130" s="215" t="str">
        <f t="shared" ca="1" si="15"/>
        <v>NL</v>
      </c>
      <c r="T130" s="215" t="str">
        <f ca="1">IF(B130="","",IF(ISERROR(MATCH($J130,SorP!$B$1:$B$6230,0)),"",INDIRECT("'SorP'!$A$"&amp;MATCH($J130,SorP!$B$1:$B$6230,0))))</f>
        <v>NL-NB</v>
      </c>
      <c r="U130" s="231"/>
      <c r="V130" s="262">
        <f>IF(C130="",NA(),IF(OR(C130="Smelter not listed",C130="Smelter not yet identified"),MATCH($B130&amp;$D130,'Smelter Look-up'!$J:$J,0),MATCH($B130&amp;$C130,'Smelter Look-up'!$J:$J,0)))</f>
        <v>219</v>
      </c>
      <c r="W130" s="263"/>
      <c r="X130" s="263">
        <f t="shared" si="16"/>
        <v>0</v>
      </c>
      <c r="Y130" s="263"/>
      <c r="Z130" s="263"/>
      <c r="AB130" s="265" t="str">
        <f t="shared" si="17"/>
        <v>GoldREMONDIS PMR B.V.</v>
      </c>
    </row>
    <row r="131" spans="1:28" s="264" customFormat="1" ht="51">
      <c r="A131" s="207" t="s">
        <v>724</v>
      </c>
      <c r="B131" s="208" t="s">
        <v>1130</v>
      </c>
      <c r="C131" s="356" t="s">
        <v>913</v>
      </c>
      <c r="D131" s="270"/>
      <c r="E131" s="208" t="s">
        <v>1097</v>
      </c>
      <c r="F131" s="208" t="s">
        <v>724</v>
      </c>
      <c r="G131" s="208" t="s">
        <v>13320</v>
      </c>
      <c r="H131" s="357">
        <v>0</v>
      </c>
      <c r="I131" s="358" t="s">
        <v>1653</v>
      </c>
      <c r="J131" s="358" t="s">
        <v>1610</v>
      </c>
      <c r="K131" s="359"/>
      <c r="L131" s="359"/>
      <c r="M131" s="359"/>
      <c r="N131" s="359" t="s">
        <v>15772</v>
      </c>
      <c r="O131" s="359" t="s">
        <v>15772</v>
      </c>
      <c r="P131" s="360" t="s">
        <v>490</v>
      </c>
      <c r="Q131" s="361" t="s">
        <v>15768</v>
      </c>
      <c r="R131" s="208" t="str">
        <f ca="1">IF(ISERROR($V131),"",OFFSET('Smelter Look-up'!$C$4,$V131-4,0)&amp;"")</f>
        <v>Royal Canadian Mint</v>
      </c>
      <c r="S131" s="215" t="str">
        <f t="shared" ca="1" si="15"/>
        <v>CA</v>
      </c>
      <c r="T131" s="215" t="str">
        <f ca="1">IF(B131="","",IF(ISERROR(MATCH($J131,SorP!$B$1:$B$6230,0)),"",INDIRECT("'SorP'!$A$"&amp;MATCH($J131,SorP!$B$1:$B$6230,0))))</f>
        <v>CA-ON</v>
      </c>
      <c r="U131" s="231"/>
      <c r="V131" s="262">
        <f>IF(C131="",NA(),IF(OR(C131="Smelter not listed",C131="Smelter not yet identified"),MATCH($B131&amp;$D131,'Smelter Look-up'!$J:$J,0),MATCH($B131&amp;$C131,'Smelter Look-up'!$J:$J,0)))</f>
        <v>220</v>
      </c>
      <c r="W131" s="263"/>
      <c r="X131" s="263">
        <f t="shared" si="16"/>
        <v>0</v>
      </c>
      <c r="Y131" s="263"/>
      <c r="Z131" s="263"/>
      <c r="AB131" s="265" t="str">
        <f t="shared" si="17"/>
        <v>GoldRoyal Canadian Mint</v>
      </c>
    </row>
    <row r="132" spans="1:28" s="264" customFormat="1" ht="25.5">
      <c r="A132" s="207" t="s">
        <v>2276</v>
      </c>
      <c r="B132" s="208" t="s">
        <v>1130</v>
      </c>
      <c r="C132" s="356" t="s">
        <v>2275</v>
      </c>
      <c r="D132" s="270"/>
      <c r="E132" s="208" t="s">
        <v>1104</v>
      </c>
      <c r="F132" s="208" t="s">
        <v>2276</v>
      </c>
      <c r="G132" s="208" t="s">
        <v>13320</v>
      </c>
      <c r="H132" s="357">
        <v>0</v>
      </c>
      <c r="I132" s="358" t="s">
        <v>2277</v>
      </c>
      <c r="J132" s="358" t="s">
        <v>4918</v>
      </c>
      <c r="K132" s="359"/>
      <c r="L132" s="359"/>
      <c r="M132" s="359"/>
      <c r="N132" s="359" t="s">
        <v>15767</v>
      </c>
      <c r="O132" s="359" t="s">
        <v>15767</v>
      </c>
      <c r="P132" s="360" t="s">
        <v>490</v>
      </c>
      <c r="Q132" s="361" t="s">
        <v>15768</v>
      </c>
      <c r="R132" s="208" t="str">
        <f ca="1">IF(ISERROR($V132),"",OFFSET('Smelter Look-up'!$C$4,$V132-4,0)&amp;"")</f>
        <v>SAAMP</v>
      </c>
      <c r="S132" s="215" t="str">
        <f t="shared" ca="1" si="15"/>
        <v>FR</v>
      </c>
      <c r="T132" s="215" t="str">
        <f ca="1">IF(B132="","",IF(ISERROR(MATCH($J132,SorP!$B$1:$B$6230,0)),"",INDIRECT("'SorP'!$A$"&amp;MATCH($J132,SorP!$B$1:$B$6230,0))))</f>
        <v>FR-IDF</v>
      </c>
      <c r="U132" s="231"/>
      <c r="V132" s="262">
        <f>IF(C132="",NA(),IF(OR(C132="Smelter not listed",C132="Smelter not yet identified"),MATCH($B132&amp;$D132,'Smelter Look-up'!$J:$J,0),MATCH($B132&amp;$C132,'Smelter Look-up'!$J:$J,0)))</f>
        <v>221</v>
      </c>
      <c r="W132" s="263"/>
      <c r="X132" s="263">
        <f t="shared" si="16"/>
        <v>0</v>
      </c>
      <c r="Y132" s="263"/>
      <c r="Z132" s="263"/>
      <c r="AB132" s="265" t="str">
        <f t="shared" si="17"/>
        <v>GoldSAAMP</v>
      </c>
    </row>
    <row r="133" spans="1:28" s="264" customFormat="1" ht="38.25">
      <c r="A133" s="207" t="s">
        <v>2542</v>
      </c>
      <c r="B133" s="208" t="s">
        <v>1130</v>
      </c>
      <c r="C133" s="356" t="s">
        <v>2541</v>
      </c>
      <c r="D133" s="270"/>
      <c r="E133" s="208" t="s">
        <v>1107</v>
      </c>
      <c r="F133" s="208" t="s">
        <v>2542</v>
      </c>
      <c r="G133" s="208" t="s">
        <v>13320</v>
      </c>
      <c r="H133" s="357">
        <v>0</v>
      </c>
      <c r="I133" s="358" t="s">
        <v>1576</v>
      </c>
      <c r="J133" s="358" t="s">
        <v>6521</v>
      </c>
      <c r="K133" s="359"/>
      <c r="L133" s="359"/>
      <c r="M133" s="359"/>
      <c r="N133" s="359" t="s">
        <v>15767</v>
      </c>
      <c r="O133" s="359" t="s">
        <v>15767</v>
      </c>
      <c r="P133" s="360" t="s">
        <v>490</v>
      </c>
      <c r="Q133" s="361" t="s">
        <v>15768</v>
      </c>
      <c r="R133" s="208" t="str">
        <f ca="1">IF(ISERROR($V133),"",OFFSET('Smelter Look-up'!$C$4,$V133-4,0)&amp;"")</f>
        <v>Safimet S.p.A</v>
      </c>
      <c r="S133" s="215" t="str">
        <f t="shared" ref="S133" ca="1" si="18">IF(B133="","",IF(ISERROR(MATCH($E133,CL,0)),"Unknown",INDIRECT("'C'!$A$"&amp;MATCH($E133,CL,0)+1)))</f>
        <v>IT</v>
      </c>
      <c r="T133" s="215" t="str">
        <f ca="1">IF(B133="","",IF(ISERROR(MATCH($J133,SorP!$B$1:$B$6230,0)),"",INDIRECT("'SorP'!$A$"&amp;MATCH($J133,SorP!$B$1:$B$6230,0))))</f>
        <v>IT-52</v>
      </c>
      <c r="U133" s="231"/>
      <c r="V133" s="262">
        <f>IF(C133="",NA(),IF(OR(C133="Smelter not listed",C133="Smelter not yet identified"),MATCH($B133&amp;$D133,'Smelter Look-up'!$J:$J,0),MATCH($B133&amp;$C133,'Smelter Look-up'!$J:$J,0)))</f>
        <v>223</v>
      </c>
      <c r="W133" s="263"/>
      <c r="X133" s="263">
        <f t="shared" ref="X133" si="19">IF(AND(C133="Smelter not listed",OR(LEN(D133)=0,LEN(E133)=0)),1,0)</f>
        <v>0</v>
      </c>
      <c r="Y133" s="263"/>
      <c r="Z133" s="263"/>
      <c r="AB133" s="265" t="str">
        <f t="shared" ref="AB133" si="20">B133&amp;C133</f>
        <v>GoldSafimet S.p.A</v>
      </c>
    </row>
    <row r="134" spans="1:28" s="264" customFormat="1" ht="51">
      <c r="A134" s="207" t="s">
        <v>1409</v>
      </c>
      <c r="B134" s="208" t="s">
        <v>1130</v>
      </c>
      <c r="C134" s="356" t="s">
        <v>1408</v>
      </c>
      <c r="D134" s="270"/>
      <c r="E134" s="208" t="s">
        <v>1111</v>
      </c>
      <c r="F134" s="208" t="s">
        <v>1409</v>
      </c>
      <c r="G134" s="208" t="s">
        <v>13320</v>
      </c>
      <c r="H134" s="357">
        <v>0</v>
      </c>
      <c r="I134" s="358" t="s">
        <v>1578</v>
      </c>
      <c r="J134" s="358" t="s">
        <v>12945</v>
      </c>
      <c r="K134" s="359"/>
      <c r="L134" s="359"/>
      <c r="M134" s="359"/>
      <c r="N134" s="359" t="s">
        <v>15770</v>
      </c>
      <c r="O134" s="359" t="s">
        <v>15770</v>
      </c>
      <c r="P134" s="360" t="s">
        <v>488</v>
      </c>
      <c r="Q134" s="361" t="s">
        <v>15768</v>
      </c>
      <c r="R134" s="208" t="str">
        <f ca="1">IF(ISERROR($V134),"",OFFSET('Smelter Look-up'!$C$4,$V134-4,0)&amp;"")</f>
        <v>Samduck Precious Metals</v>
      </c>
      <c r="S134" s="215" t="str">
        <f t="shared" ref="S134:S165" ca="1" si="21">IF(B134="","",IF(ISERROR(MATCH($E134,CL,0)),"Unknown",INDIRECT("'C'!$A$"&amp;MATCH($E134,CL,0)+1)))</f>
        <v>KR</v>
      </c>
      <c r="T134" s="215" t="str">
        <f ca="1">IF(B134="","",IF(ISERROR(MATCH($J134,SorP!$B$1:$B$6230,0)),"",INDIRECT("'SorP'!$A$"&amp;MATCH($J134,SorP!$B$1:$B$6230,0))))</f>
        <v>KR-28</v>
      </c>
      <c r="U134" s="231"/>
      <c r="V134" s="262">
        <f>IF(C134="",NA(),IF(OR(C134="Smelter not listed",C134="Smelter not yet identified"),MATCH($B134&amp;$D134,'Smelter Look-up'!$J:$J,0),MATCH($B134&amp;$C134,'Smelter Look-up'!$J:$J,0)))</f>
        <v>228</v>
      </c>
      <c r="W134" s="263"/>
      <c r="X134" s="263">
        <f t="shared" ref="X134:X165" si="22">IF(AND(C134="Smelter not listed",OR(LEN(D134)=0,LEN(E134)=0)),1,0)</f>
        <v>0</v>
      </c>
      <c r="Y134" s="263"/>
      <c r="Z134" s="263"/>
      <c r="AB134" s="265" t="str">
        <f t="shared" ref="AB134:AB165" si="23">B134&amp;C134</f>
        <v>GoldSamduck Precious Metals</v>
      </c>
    </row>
    <row r="135" spans="1:28" s="264" customFormat="1" ht="63.75">
      <c r="A135" s="207" t="s">
        <v>727</v>
      </c>
      <c r="B135" s="208" t="s">
        <v>1130</v>
      </c>
      <c r="C135" s="356" t="s">
        <v>12512</v>
      </c>
      <c r="D135" s="270"/>
      <c r="E135" s="208" t="s">
        <v>1102</v>
      </c>
      <c r="F135" s="208" t="s">
        <v>727</v>
      </c>
      <c r="G135" s="208" t="s">
        <v>13320</v>
      </c>
      <c r="H135" s="357">
        <v>0</v>
      </c>
      <c r="I135" s="358" t="s">
        <v>1659</v>
      </c>
      <c r="J135" s="358" t="s">
        <v>4705</v>
      </c>
      <c r="K135" s="359"/>
      <c r="L135" s="359"/>
      <c r="M135" s="359"/>
      <c r="N135" s="359" t="s">
        <v>15772</v>
      </c>
      <c r="O135" s="359" t="s">
        <v>15772</v>
      </c>
      <c r="P135" s="360" t="s">
        <v>490</v>
      </c>
      <c r="Q135" s="361" t="s">
        <v>15768</v>
      </c>
      <c r="R135" s="208" t="str">
        <f ca="1">IF(ISERROR($V135),"",OFFSET('Smelter Look-up'!$C$4,$V135-4,0)&amp;"")</f>
        <v>SEMPSA Joyeria Plateria S.A.</v>
      </c>
      <c r="S135" s="215" t="str">
        <f t="shared" ca="1" si="21"/>
        <v>ES</v>
      </c>
      <c r="T135" s="215" t="str">
        <f ca="1">IF(B135="","",IF(ISERROR(MATCH($J135,SorP!$B$1:$B$6230,0)),"",INDIRECT("'SorP'!$A$"&amp;MATCH($J135,SorP!$B$1:$B$6230,0))))</f>
        <v>ES-MD</v>
      </c>
      <c r="U135" s="231"/>
      <c r="V135" s="262">
        <f>IF(C135="",NA(),IF(OR(C135="Smelter not listed",C135="Smelter not yet identified"),MATCH($B135&amp;$D135,'Smelter Look-up'!$J:$J,0),MATCH($B135&amp;$C135,'Smelter Look-up'!$J:$J,0)))</f>
        <v>234</v>
      </c>
      <c r="W135" s="263"/>
      <c r="X135" s="263">
        <f t="shared" si="22"/>
        <v>0</v>
      </c>
      <c r="Y135" s="263"/>
      <c r="Z135" s="263"/>
      <c r="AB135" s="265" t="str">
        <f t="shared" si="23"/>
        <v>GoldSEMPSA Joyeria Plateria S.A.</v>
      </c>
    </row>
    <row r="136" spans="1:28" s="264" customFormat="1" ht="102">
      <c r="A136" s="207" t="s">
        <v>728</v>
      </c>
      <c r="B136" s="208" t="s">
        <v>1130</v>
      </c>
      <c r="C136" s="356" t="s">
        <v>2174</v>
      </c>
      <c r="D136" s="270"/>
      <c r="E136" s="208" t="s">
        <v>1100</v>
      </c>
      <c r="F136" s="208" t="s">
        <v>728</v>
      </c>
      <c r="G136" s="208" t="s">
        <v>13320</v>
      </c>
      <c r="H136" s="357">
        <v>0</v>
      </c>
      <c r="I136" s="358" t="s">
        <v>1592</v>
      </c>
      <c r="J136" s="358" t="s">
        <v>13700</v>
      </c>
      <c r="K136" s="359"/>
      <c r="L136" s="359"/>
      <c r="M136" s="359"/>
      <c r="N136" s="359" t="s">
        <v>15772</v>
      </c>
      <c r="O136" s="359" t="s">
        <v>15772</v>
      </c>
      <c r="P136" s="360" t="s">
        <v>490</v>
      </c>
      <c r="Q136" s="361" t="s">
        <v>15768</v>
      </c>
      <c r="R136" s="208" t="str">
        <f ca="1">IF(ISERROR($V136),"",OFFSET('Smelter Look-up'!$C$4,$V136-4,0)&amp;"")</f>
        <v>Shandong Zhaojin Gold &amp; Silver Refinery Co., Ltd.</v>
      </c>
      <c r="S136" s="215" t="str">
        <f t="shared" ca="1" si="21"/>
        <v>CN</v>
      </c>
      <c r="T136" s="215" t="str">
        <f ca="1">IF(B136="","",IF(ISERROR(MATCH($J136,SorP!$B$1:$B$6230,0)),"",INDIRECT("'SorP'!$A$"&amp;MATCH($J136,SorP!$B$1:$B$6230,0))))</f>
        <v>CN-SD</v>
      </c>
      <c r="U136" s="231"/>
      <c r="V136" s="262">
        <f>IF(C136="",NA(),IF(OR(C136="Smelter not listed",C136="Smelter not yet identified"),MATCH($B136&amp;$D136,'Smelter Look-up'!$J:$J,0),MATCH($B136&amp;$C136,'Smelter Look-up'!$J:$J,0)))</f>
        <v>246</v>
      </c>
      <c r="W136" s="263"/>
      <c r="X136" s="263">
        <f t="shared" si="22"/>
        <v>0</v>
      </c>
      <c r="Y136" s="263"/>
      <c r="Z136" s="263"/>
      <c r="AB136" s="265" t="str">
        <f t="shared" si="23"/>
        <v>GoldShandong Zhaojin Gold &amp; Silver Refinery Co., Ltd.</v>
      </c>
    </row>
    <row r="137" spans="1:28" s="264" customFormat="1" ht="89.25">
      <c r="A137" s="207" t="s">
        <v>1392</v>
      </c>
      <c r="B137" s="208" t="s">
        <v>1130</v>
      </c>
      <c r="C137" s="356" t="s">
        <v>2175</v>
      </c>
      <c r="D137" s="270"/>
      <c r="E137" s="208" t="s">
        <v>1100</v>
      </c>
      <c r="F137" s="208" t="s">
        <v>1392</v>
      </c>
      <c r="G137" s="208" t="s">
        <v>13320</v>
      </c>
      <c r="H137" s="357">
        <v>0</v>
      </c>
      <c r="I137" s="358" t="s">
        <v>1667</v>
      </c>
      <c r="J137" s="358" t="s">
        <v>13706</v>
      </c>
      <c r="K137" s="359"/>
      <c r="L137" s="359"/>
      <c r="M137" s="359"/>
      <c r="N137" s="359" t="s">
        <v>15772</v>
      </c>
      <c r="O137" s="359" t="s">
        <v>15772</v>
      </c>
      <c r="P137" s="360" t="s">
        <v>490</v>
      </c>
      <c r="Q137" s="361" t="s">
        <v>15768</v>
      </c>
      <c r="R137" s="208" t="str">
        <f ca="1">IF(ISERROR($V137),"",OFFSET('Smelter Look-up'!$C$4,$V137-4,0)&amp;"")</f>
        <v>Sichuan Tianze Precious Metals Co., Ltd.</v>
      </c>
      <c r="S137" s="215" t="str">
        <f t="shared" ca="1" si="21"/>
        <v>CN</v>
      </c>
      <c r="T137" s="215" t="str">
        <f ca="1">IF(B137="","",IF(ISERROR(MATCH($J137,SorP!$B$1:$B$6230,0)),"",INDIRECT("'SorP'!$A$"&amp;MATCH($J137,SorP!$B$1:$B$6230,0))))</f>
        <v>CN-SC</v>
      </c>
      <c r="U137" s="231"/>
      <c r="V137" s="262">
        <f>IF(C137="",NA(),IF(OR(C137="Smelter not listed",C137="Smelter not yet identified"),MATCH($B137&amp;$D137,'Smelter Look-up'!$J:$J,0),MATCH($B137&amp;$C137,'Smelter Look-up'!$J:$J,0)))</f>
        <v>253</v>
      </c>
      <c r="W137" s="263"/>
      <c r="X137" s="263">
        <f t="shared" si="22"/>
        <v>0</v>
      </c>
      <c r="Y137" s="263"/>
      <c r="Z137" s="263"/>
      <c r="AB137" s="265" t="str">
        <f t="shared" si="23"/>
        <v>GoldSichuan Tianze Precious Metals Co., Ltd.</v>
      </c>
    </row>
    <row r="138" spans="1:28" s="264" customFormat="1" ht="63.75">
      <c r="A138" s="207" t="s">
        <v>1394</v>
      </c>
      <c r="B138" s="208" t="s">
        <v>1130</v>
      </c>
      <c r="C138" s="356" t="s">
        <v>1393</v>
      </c>
      <c r="D138" s="270"/>
      <c r="E138" s="208" t="s">
        <v>2455</v>
      </c>
      <c r="F138" s="208" t="s">
        <v>1394</v>
      </c>
      <c r="G138" s="208" t="s">
        <v>13320</v>
      </c>
      <c r="H138" s="357">
        <v>0</v>
      </c>
      <c r="I138" s="358" t="s">
        <v>1709</v>
      </c>
      <c r="J138" s="358" t="s">
        <v>1710</v>
      </c>
      <c r="K138" s="359"/>
      <c r="L138" s="359"/>
      <c r="M138" s="359"/>
      <c r="N138" s="359" t="s">
        <v>15769</v>
      </c>
      <c r="O138" s="359" t="s">
        <v>15769</v>
      </c>
      <c r="P138" s="360" t="s">
        <v>489</v>
      </c>
      <c r="Q138" s="361" t="s">
        <v>15768</v>
      </c>
      <c r="R138" s="208" t="str">
        <f ca="1">IF(ISERROR($V138),"",OFFSET('Smelter Look-up'!$C$4,$V138-4,0)&amp;"")</f>
        <v>Singway Technology Co., Ltd.</v>
      </c>
      <c r="S138" s="215" t="str">
        <f t="shared" ca="1" si="21"/>
        <v>TW</v>
      </c>
      <c r="T138" s="215" t="str">
        <f ca="1">IF(B138="","",IF(ISERROR(MATCH($J138,SorP!$B$1:$B$6230,0)),"",INDIRECT("'SorP'!$A$"&amp;MATCH($J138,SorP!$B$1:$B$6230,0))))</f>
        <v>TW-TAO</v>
      </c>
      <c r="U138" s="231"/>
      <c r="V138" s="262">
        <f>IF(C138="",NA(),IF(OR(C138="Smelter not listed",C138="Smelter not yet identified"),MATCH($B138&amp;$D138,'Smelter Look-up'!$J:$J,0),MATCH($B138&amp;$C138,'Smelter Look-up'!$J:$J,0)))</f>
        <v>255</v>
      </c>
      <c r="W138" s="263"/>
      <c r="X138" s="263">
        <f t="shared" si="22"/>
        <v>0</v>
      </c>
      <c r="Y138" s="263"/>
      <c r="Z138" s="263"/>
      <c r="AB138" s="265" t="str">
        <f t="shared" si="23"/>
        <v>GoldSingway Technology Co., Ltd.</v>
      </c>
    </row>
    <row r="139" spans="1:28" s="264" customFormat="1" ht="102">
      <c r="A139" s="207" t="s">
        <v>730</v>
      </c>
      <c r="B139" s="208" t="s">
        <v>1130</v>
      </c>
      <c r="C139" s="356" t="s">
        <v>915</v>
      </c>
      <c r="D139" s="270"/>
      <c r="E139" s="208" t="s">
        <v>2455</v>
      </c>
      <c r="F139" s="208" t="s">
        <v>730</v>
      </c>
      <c r="G139" s="208" t="s">
        <v>13320</v>
      </c>
      <c r="H139" s="357">
        <v>0</v>
      </c>
      <c r="I139" s="358" t="s">
        <v>1669</v>
      </c>
      <c r="J139" s="358" t="s">
        <v>11590</v>
      </c>
      <c r="K139" s="359"/>
      <c r="L139" s="359"/>
      <c r="M139" s="359"/>
      <c r="N139" s="359" t="s">
        <v>15772</v>
      </c>
      <c r="O139" s="359" t="s">
        <v>15772</v>
      </c>
      <c r="P139" s="360" t="s">
        <v>490</v>
      </c>
      <c r="Q139" s="361" t="s">
        <v>15768</v>
      </c>
      <c r="R139" s="208" t="str">
        <f ca="1">IF(ISERROR($V139),"",OFFSET('Smelter Look-up'!$C$4,$V139-4,0)&amp;"")</f>
        <v>Solar Applied Materials Technology Corp.</v>
      </c>
      <c r="S139" s="215" t="str">
        <f t="shared" ca="1" si="21"/>
        <v>TW</v>
      </c>
      <c r="T139" s="215" t="str">
        <f ca="1">IF(B139="","",IF(ISERROR(MATCH($J139,SorP!$B$1:$B$6230,0)),"",INDIRECT("'SorP'!$A$"&amp;MATCH($J139,SorP!$B$1:$B$6230,0))))</f>
        <v>TW-TNN</v>
      </c>
      <c r="U139" s="231"/>
      <c r="V139" s="262">
        <f>IF(C139="",NA(),IF(OR(C139="Smelter not listed",C139="Smelter not yet identified"),MATCH($B139&amp;$D139,'Smelter Look-up'!$J:$J,0),MATCH($B139&amp;$C139,'Smelter Look-up'!$J:$J,0)))</f>
        <v>258</v>
      </c>
      <c r="W139" s="263"/>
      <c r="X139" s="263">
        <f t="shared" si="22"/>
        <v>0</v>
      </c>
      <c r="Y139" s="263"/>
      <c r="Z139" s="263"/>
      <c r="AB139" s="265" t="str">
        <f t="shared" si="23"/>
        <v>GoldSolar Applied Materials Technology Corp.</v>
      </c>
    </row>
    <row r="140" spans="1:28" s="264" customFormat="1" ht="76.5">
      <c r="A140" s="207" t="s">
        <v>731</v>
      </c>
      <c r="B140" s="208" t="s">
        <v>1130</v>
      </c>
      <c r="C140" s="356" t="s">
        <v>58</v>
      </c>
      <c r="D140" s="270"/>
      <c r="E140" s="208" t="s">
        <v>1108</v>
      </c>
      <c r="F140" s="208" t="s">
        <v>731</v>
      </c>
      <c r="G140" s="208" t="s">
        <v>13320</v>
      </c>
      <c r="H140" s="357">
        <v>0</v>
      </c>
      <c r="I140" s="358" t="s">
        <v>1670</v>
      </c>
      <c r="J140" s="358" t="s">
        <v>2229</v>
      </c>
      <c r="K140" s="359"/>
      <c r="L140" s="359"/>
      <c r="M140" s="359"/>
      <c r="N140" s="359" t="s">
        <v>15772</v>
      </c>
      <c r="O140" s="359" t="s">
        <v>15772</v>
      </c>
      <c r="P140" s="360" t="s">
        <v>490</v>
      </c>
      <c r="Q140" s="361" t="s">
        <v>15768</v>
      </c>
      <c r="R140" s="208" t="str">
        <f ca="1">IF(ISERROR($V140),"",OFFSET('Smelter Look-up'!$C$4,$V140-4,0)&amp;"")</f>
        <v>Sumitomo Metal Mining Co., Ltd.</v>
      </c>
      <c r="S140" s="215" t="str">
        <f t="shared" ca="1" si="21"/>
        <v>JP</v>
      </c>
      <c r="T140" s="215" t="str">
        <f ca="1">IF(B140="","",IF(ISERROR(MATCH($J140,SorP!$B$1:$B$6230,0)),"",INDIRECT("'SorP'!$A$"&amp;MATCH($J140,SorP!$B$1:$B$6230,0))))</f>
        <v>JP-38</v>
      </c>
      <c r="U140" s="231"/>
      <c r="V140" s="262">
        <f>IF(C140="",NA(),IF(OR(C140="Smelter not listed",C140="Smelter not yet identified"),MATCH($B140&amp;$D140,'Smelter Look-up'!$J:$J,0),MATCH($B140&amp;$C140,'Smelter Look-up'!$J:$J,0)))</f>
        <v>265</v>
      </c>
      <c r="W140" s="263"/>
      <c r="X140" s="263">
        <f t="shared" si="22"/>
        <v>0</v>
      </c>
      <c r="Y140" s="263"/>
      <c r="Z140" s="263"/>
      <c r="AB140" s="265" t="str">
        <f t="shared" si="23"/>
        <v>GoldSumitomo Metal Mining Co., Ltd.</v>
      </c>
    </row>
    <row r="141" spans="1:28" s="264" customFormat="1" ht="63.75">
      <c r="A141" s="207" t="s">
        <v>2476</v>
      </c>
      <c r="B141" s="208" t="s">
        <v>1130</v>
      </c>
      <c r="C141" s="356" t="s">
        <v>13005</v>
      </c>
      <c r="D141" s="270"/>
      <c r="E141" s="208" t="s">
        <v>1111</v>
      </c>
      <c r="F141" s="208" t="s">
        <v>2476</v>
      </c>
      <c r="G141" s="208" t="s">
        <v>13320</v>
      </c>
      <c r="H141" s="357">
        <v>0</v>
      </c>
      <c r="I141" s="358" t="s">
        <v>13020</v>
      </c>
      <c r="J141" s="358" t="s">
        <v>12953</v>
      </c>
      <c r="K141" s="359"/>
      <c r="L141" s="359"/>
      <c r="M141" s="359"/>
      <c r="N141" s="359" t="s">
        <v>15770</v>
      </c>
      <c r="O141" s="359" t="s">
        <v>15770</v>
      </c>
      <c r="P141" s="360" t="s">
        <v>488</v>
      </c>
      <c r="Q141" s="361" t="s">
        <v>15768</v>
      </c>
      <c r="R141" s="208" t="str">
        <f ca="1">IF(ISERROR($V141),"",OFFSET('Smelter Look-up'!$C$4,$V141-4,0)&amp;"")</f>
        <v>SungEel HiMetal Co., Ltd.</v>
      </c>
      <c r="S141" s="215" t="str">
        <f t="shared" ca="1" si="21"/>
        <v>KR</v>
      </c>
      <c r="T141" s="215" t="str">
        <f ca="1">IF(B141="","",IF(ISERROR(MATCH($J141,SorP!$B$1:$B$6230,0)),"",INDIRECT("'SorP'!$A$"&amp;MATCH($J141,SorP!$B$1:$B$6230,0))))</f>
        <v>KR-45</v>
      </c>
      <c r="U141" s="231"/>
      <c r="V141" s="262">
        <f>IF(C141="",NA(),IF(OR(C141="Smelter not listed",C141="Smelter not yet identified"),MATCH($B141&amp;$D141,'Smelter Look-up'!$J:$J,0),MATCH($B141&amp;$C141,'Smelter Look-up'!$J:$J,0)))</f>
        <v>266</v>
      </c>
      <c r="W141" s="263"/>
      <c r="X141" s="263">
        <f t="shared" si="22"/>
        <v>0</v>
      </c>
      <c r="Y141" s="263"/>
      <c r="Z141" s="263"/>
      <c r="AB141" s="265" t="str">
        <f t="shared" si="23"/>
        <v>GoldSungEel HiMetal Co., Ltd.</v>
      </c>
    </row>
    <row r="142" spans="1:28" s="264" customFormat="1" ht="25.5">
      <c r="A142" s="207" t="s">
        <v>1721</v>
      </c>
      <c r="B142" s="208" t="s">
        <v>1130</v>
      </c>
      <c r="C142" s="356" t="s">
        <v>2232</v>
      </c>
      <c r="D142" s="270"/>
      <c r="E142" s="208" t="s">
        <v>1107</v>
      </c>
      <c r="F142" s="208" t="s">
        <v>1721</v>
      </c>
      <c r="G142" s="208" t="s">
        <v>13320</v>
      </c>
      <c r="H142" s="357">
        <v>0</v>
      </c>
      <c r="I142" s="358" t="s">
        <v>1722</v>
      </c>
      <c r="J142" s="358" t="s">
        <v>6521</v>
      </c>
      <c r="K142" s="359"/>
      <c r="L142" s="359"/>
      <c r="M142" s="359"/>
      <c r="N142" s="359" t="s">
        <v>15772</v>
      </c>
      <c r="O142" s="359" t="s">
        <v>15772</v>
      </c>
      <c r="P142" s="360" t="s">
        <v>490</v>
      </c>
      <c r="Q142" s="361" t="s">
        <v>15768</v>
      </c>
      <c r="R142" s="208" t="str">
        <f ca="1">IF(ISERROR($V142),"",OFFSET('Smelter Look-up'!$C$4,$V142-4,0)&amp;"")</f>
        <v>T.C.A S.p.A</v>
      </c>
      <c r="S142" s="215" t="str">
        <f t="shared" ca="1" si="21"/>
        <v>IT</v>
      </c>
      <c r="T142" s="215" t="str">
        <f ca="1">IF(B142="","",IF(ISERROR(MATCH($J142,SorP!$B$1:$B$6230,0)),"",INDIRECT("'SorP'!$A$"&amp;MATCH($J142,SorP!$B$1:$B$6230,0))))</f>
        <v>IT-52</v>
      </c>
      <c r="U142" s="231"/>
      <c r="V142" s="262">
        <f>IF(C142="",NA(),IF(OR(C142="Smelter not listed",C142="Smelter not yet identified"),MATCH($B142&amp;$D142,'Smelter Look-up'!$J:$J,0),MATCH($B142&amp;$C142,'Smelter Look-up'!$J:$J,0)))</f>
        <v>269</v>
      </c>
      <c r="W142" s="263"/>
      <c r="X142" s="263">
        <f t="shared" si="22"/>
        <v>0</v>
      </c>
      <c r="Y142" s="263"/>
      <c r="Z142" s="263"/>
      <c r="AB142" s="265" t="str">
        <f t="shared" si="23"/>
        <v>GoldT.C.A S.p.A</v>
      </c>
    </row>
    <row r="143" spans="1:28" s="264" customFormat="1" ht="63.75">
      <c r="A143" s="207" t="s">
        <v>732</v>
      </c>
      <c r="B143" s="208" t="s">
        <v>1130</v>
      </c>
      <c r="C143" s="356" t="s">
        <v>1233</v>
      </c>
      <c r="D143" s="270"/>
      <c r="E143" s="208" t="s">
        <v>1108</v>
      </c>
      <c r="F143" s="208" t="s">
        <v>732</v>
      </c>
      <c r="G143" s="208" t="s">
        <v>13320</v>
      </c>
      <c r="H143" s="357">
        <v>0</v>
      </c>
      <c r="I143" s="358" t="s">
        <v>1671</v>
      </c>
      <c r="J143" s="358" t="s">
        <v>1672</v>
      </c>
      <c r="K143" s="359"/>
      <c r="L143" s="359"/>
      <c r="M143" s="359"/>
      <c r="N143" s="359" t="s">
        <v>15772</v>
      </c>
      <c r="O143" s="359" t="s">
        <v>15772</v>
      </c>
      <c r="P143" s="360" t="s">
        <v>490</v>
      </c>
      <c r="Q143" s="361" t="s">
        <v>15768</v>
      </c>
      <c r="R143" s="208" t="str">
        <f ca="1">IF(ISERROR($V143),"",OFFSET('Smelter Look-up'!$C$4,$V143-4,0)&amp;"")</f>
        <v>Tanaka Kikinzoku Kogyo K.K.</v>
      </c>
      <c r="S143" s="215" t="str">
        <f t="shared" ca="1" si="21"/>
        <v>JP</v>
      </c>
      <c r="T143" s="215" t="str">
        <f ca="1">IF(B143="","",IF(ISERROR(MATCH($J143,SorP!$B$1:$B$6230,0)),"",INDIRECT("'SorP'!$A$"&amp;MATCH($J143,SorP!$B$1:$B$6230,0))))</f>
        <v>JP-14</v>
      </c>
      <c r="U143" s="231"/>
      <c r="V143" s="262">
        <f>IF(C143="",NA(),IF(OR(C143="Smelter not listed",C143="Smelter not yet identified"),MATCH($B143&amp;$D143,'Smelter Look-up'!$J:$J,0),MATCH($B143&amp;$C143,'Smelter Look-up'!$J:$J,0)))</f>
        <v>278</v>
      </c>
      <c r="W143" s="263"/>
      <c r="X143" s="263">
        <f t="shared" si="22"/>
        <v>0</v>
      </c>
      <c r="Y143" s="263"/>
      <c r="Z143" s="263"/>
      <c r="AB143" s="265" t="str">
        <f t="shared" si="23"/>
        <v>GoldTanaka Kikinzoku Kogyo K.K.</v>
      </c>
    </row>
    <row r="144" spans="1:28" s="264" customFormat="1" ht="102">
      <c r="A144" s="207" t="s">
        <v>734</v>
      </c>
      <c r="B144" s="208" t="s">
        <v>1130</v>
      </c>
      <c r="C144" s="356" t="s">
        <v>2177</v>
      </c>
      <c r="D144" s="270"/>
      <c r="E144" s="208" t="s">
        <v>1100</v>
      </c>
      <c r="F144" s="208" t="s">
        <v>734</v>
      </c>
      <c r="G144" s="208" t="s">
        <v>13320</v>
      </c>
      <c r="H144" s="357">
        <v>0</v>
      </c>
      <c r="I144" s="358" t="s">
        <v>1663</v>
      </c>
      <c r="J144" s="358" t="s">
        <v>13700</v>
      </c>
      <c r="K144" s="359"/>
      <c r="L144" s="359"/>
      <c r="M144" s="359"/>
      <c r="N144" s="359" t="s">
        <v>15772</v>
      </c>
      <c r="O144" s="359" t="s">
        <v>15772</v>
      </c>
      <c r="P144" s="360" t="s">
        <v>490</v>
      </c>
      <c r="Q144" s="361" t="s">
        <v>15768</v>
      </c>
      <c r="R144" s="208" t="str">
        <f ca="1">IF(ISERROR($V144),"",OFFSET('Smelter Look-up'!$C$4,$V144-4,0)&amp;"")</f>
        <v>Shandong Gold Smelting Co., Ltd.</v>
      </c>
      <c r="S144" s="215" t="str">
        <f t="shared" ca="1" si="21"/>
        <v>CN</v>
      </c>
      <c r="T144" s="215" t="str">
        <f ca="1">IF(B144="","",IF(ISERROR(MATCH($J144,SorP!$B$1:$B$6230,0)),"",INDIRECT("'SorP'!$A$"&amp;MATCH($J144,SorP!$B$1:$B$6230,0))))</f>
        <v>CN-SD</v>
      </c>
      <c r="U144" s="231"/>
      <c r="V144" s="262">
        <f>IF(C144="",NA(),IF(OR(C144="Smelter not listed",C144="Smelter not yet identified"),MATCH($B144&amp;$D144,'Smelter Look-up'!$J:$J,0),MATCH($B144&amp;$C144,'Smelter Look-up'!$J:$J,0)))</f>
        <v>282</v>
      </c>
      <c r="W144" s="263"/>
      <c r="X144" s="263">
        <f t="shared" si="22"/>
        <v>0</v>
      </c>
      <c r="Y144" s="263"/>
      <c r="Z144" s="263"/>
      <c r="AB144" s="265" t="str">
        <f t="shared" si="23"/>
        <v>GoldThe Refinery of Shandong Gold Mining Co., Ltd.</v>
      </c>
    </row>
    <row r="145" spans="1:28" s="264" customFormat="1" ht="63.75">
      <c r="A145" s="207" t="s">
        <v>735</v>
      </c>
      <c r="B145" s="208" t="s">
        <v>1130</v>
      </c>
      <c r="C145" s="356" t="s">
        <v>2178</v>
      </c>
      <c r="D145" s="270"/>
      <c r="E145" s="208" t="s">
        <v>1108</v>
      </c>
      <c r="F145" s="208" t="s">
        <v>735</v>
      </c>
      <c r="G145" s="208" t="s">
        <v>13320</v>
      </c>
      <c r="H145" s="357">
        <v>0</v>
      </c>
      <c r="I145" s="358" t="s">
        <v>1677</v>
      </c>
      <c r="J145" s="358" t="s">
        <v>1587</v>
      </c>
      <c r="K145" s="359"/>
      <c r="L145" s="359"/>
      <c r="M145" s="359"/>
      <c r="N145" s="359" t="s">
        <v>15772</v>
      </c>
      <c r="O145" s="359" t="s">
        <v>15772</v>
      </c>
      <c r="P145" s="360" t="s">
        <v>490</v>
      </c>
      <c r="Q145" s="361" t="s">
        <v>15768</v>
      </c>
      <c r="R145" s="208" t="str">
        <f ca="1">IF(ISERROR($V145),"",OFFSET('Smelter Look-up'!$C$4,$V145-4,0)&amp;"")</f>
        <v>Tokuriki Honten Co., Ltd.</v>
      </c>
      <c r="S145" s="215" t="str">
        <f t="shared" ca="1" si="21"/>
        <v>JP</v>
      </c>
      <c r="T145" s="215" t="str">
        <f ca="1">IF(B145="","",IF(ISERROR(MATCH($J145,SorP!$B$1:$B$6230,0)),"",INDIRECT("'SorP'!$A$"&amp;MATCH($J145,SorP!$B$1:$B$6230,0))))</f>
        <v>JP-11</v>
      </c>
      <c r="U145" s="231"/>
      <c r="V145" s="262">
        <f>IF(C145="",NA(),IF(OR(C145="Smelter not listed",C145="Smelter not yet identified"),MATCH($B145&amp;$D145,'Smelter Look-up'!$J:$J,0),MATCH($B145&amp;$C145,'Smelter Look-up'!$J:$J,0)))</f>
        <v>283</v>
      </c>
      <c r="W145" s="263"/>
      <c r="X145" s="263">
        <f t="shared" si="22"/>
        <v>0</v>
      </c>
      <c r="Y145" s="263"/>
      <c r="Z145" s="263"/>
      <c r="AB145" s="265" t="str">
        <f t="shared" si="23"/>
        <v>GoldTokuriki Honten Co., Ltd.</v>
      </c>
    </row>
    <row r="146" spans="1:28" s="264" customFormat="1" ht="25.5">
      <c r="A146" s="207" t="s">
        <v>737</v>
      </c>
      <c r="B146" s="208" t="s">
        <v>1130</v>
      </c>
      <c r="C146" s="356" t="s">
        <v>610</v>
      </c>
      <c r="D146" s="270"/>
      <c r="E146" s="208" t="s">
        <v>1111</v>
      </c>
      <c r="F146" s="208" t="s">
        <v>737</v>
      </c>
      <c r="G146" s="208" t="s">
        <v>13320</v>
      </c>
      <c r="H146" s="357">
        <v>0</v>
      </c>
      <c r="I146" s="358" t="s">
        <v>1681</v>
      </c>
      <c r="J146" s="358" t="s">
        <v>12948</v>
      </c>
      <c r="K146" s="359"/>
      <c r="L146" s="359"/>
      <c r="M146" s="359"/>
      <c r="N146" s="359" t="s">
        <v>15770</v>
      </c>
      <c r="O146" s="359" t="s">
        <v>15770</v>
      </c>
      <c r="P146" s="360" t="s">
        <v>488</v>
      </c>
      <c r="Q146" s="361" t="s">
        <v>15768</v>
      </c>
      <c r="R146" s="208" t="str">
        <f ca="1">IF(ISERROR($V146),"",OFFSET('Smelter Look-up'!$C$4,$V146-4,0)&amp;"")</f>
        <v>Torecom</v>
      </c>
      <c r="S146" s="215" t="str">
        <f t="shared" ca="1" si="21"/>
        <v>KR</v>
      </c>
      <c r="T146" s="215" t="str">
        <f ca="1">IF(B146="","",IF(ISERROR(MATCH($J146,SorP!$B$1:$B$6230,0)),"",INDIRECT("'SorP'!$A$"&amp;MATCH($J146,SorP!$B$1:$B$6230,0))))</f>
        <v>KR-44</v>
      </c>
      <c r="U146" s="231"/>
      <c r="V146" s="262">
        <f>IF(C146="",NA(),IF(OR(C146="Smelter not listed",C146="Smelter not yet identified"),MATCH($B146&amp;$D146,'Smelter Look-up'!$J:$J,0),MATCH($B146&amp;$C146,'Smelter Look-up'!$J:$J,0)))</f>
        <v>288</v>
      </c>
      <c r="W146" s="263"/>
      <c r="X146" s="263">
        <f t="shared" si="22"/>
        <v>0</v>
      </c>
      <c r="Y146" s="263"/>
      <c r="Z146" s="263"/>
      <c r="AB146" s="265" t="str">
        <f t="shared" si="23"/>
        <v>GoldTorecom</v>
      </c>
    </row>
    <row r="147" spans="1:28" s="264" customFormat="1" ht="102">
      <c r="A147" s="207" t="s">
        <v>738</v>
      </c>
      <c r="B147" s="208" t="s">
        <v>1130</v>
      </c>
      <c r="C147" s="356" t="s">
        <v>2354</v>
      </c>
      <c r="D147" s="270"/>
      <c r="E147" s="208" t="s">
        <v>1095</v>
      </c>
      <c r="F147" s="208" t="s">
        <v>738</v>
      </c>
      <c r="G147" s="208" t="s">
        <v>13320</v>
      </c>
      <c r="H147" s="357">
        <v>0</v>
      </c>
      <c r="I147" s="358" t="s">
        <v>1683</v>
      </c>
      <c r="J147" s="358" t="s">
        <v>3177</v>
      </c>
      <c r="K147" s="359"/>
      <c r="L147" s="359"/>
      <c r="M147" s="359"/>
      <c r="N147" s="359" t="s">
        <v>15772</v>
      </c>
      <c r="O147" s="359" t="s">
        <v>15772</v>
      </c>
      <c r="P147" s="360" t="s">
        <v>490</v>
      </c>
      <c r="Q147" s="361" t="s">
        <v>15768</v>
      </c>
      <c r="R147" s="208" t="str">
        <f ca="1">IF(ISERROR($V147),"",OFFSET('Smelter Look-up'!$C$4,$V147-4,0)&amp;"")</f>
        <v>Umicore S.A. Business Unit Precious Metals Refining</v>
      </c>
      <c r="S147" s="215" t="str">
        <f t="shared" ca="1" si="21"/>
        <v>BE</v>
      </c>
      <c r="T147" s="215" t="str">
        <f ca="1">IF(B147="","",IF(ISERROR(MATCH($J147,SorP!$B$1:$B$6230,0)),"",INDIRECT("'SorP'!$A$"&amp;MATCH($J147,SorP!$B$1:$B$6230,0))))</f>
        <v>BE-VAN</v>
      </c>
      <c r="U147" s="231"/>
      <c r="V147" s="262">
        <f>IF(C147="",NA(),IF(OR(C147="Smelter not listed",C147="Smelter not yet identified"),MATCH($B147&amp;$D147,'Smelter Look-up'!$J:$J,0),MATCH($B147&amp;$C147,'Smelter Look-up'!$J:$J,0)))</f>
        <v>293</v>
      </c>
      <c r="W147" s="263"/>
      <c r="X147" s="263">
        <f t="shared" si="22"/>
        <v>0</v>
      </c>
      <c r="Y147" s="263"/>
      <c r="Z147" s="263"/>
      <c r="AB147" s="265" t="str">
        <f t="shared" si="23"/>
        <v>GoldUmicore S.A. Business Unit Precious Metals Refining</v>
      </c>
    </row>
    <row r="148" spans="1:28" s="264" customFormat="1" ht="63.75">
      <c r="A148" s="207" t="s">
        <v>147</v>
      </c>
      <c r="B148" s="208" t="s">
        <v>1130</v>
      </c>
      <c r="C148" s="356" t="s">
        <v>146</v>
      </c>
      <c r="D148" s="270"/>
      <c r="E148" s="208" t="s">
        <v>888</v>
      </c>
      <c r="F148" s="208" t="s">
        <v>147</v>
      </c>
      <c r="G148" s="208" t="s">
        <v>13320</v>
      </c>
      <c r="H148" s="357">
        <v>0</v>
      </c>
      <c r="I148" s="358" t="s">
        <v>12486</v>
      </c>
      <c r="J148" s="358" t="s">
        <v>11134</v>
      </c>
      <c r="K148" s="359"/>
      <c r="L148" s="359"/>
      <c r="M148" s="359"/>
      <c r="N148" s="359" t="s">
        <v>15767</v>
      </c>
      <c r="O148" s="359" t="s">
        <v>15767</v>
      </c>
      <c r="P148" s="360" t="s">
        <v>490</v>
      </c>
      <c r="Q148" s="361" t="s">
        <v>15768</v>
      </c>
      <c r="R148" s="208" t="str">
        <f ca="1">IF(ISERROR($V148),"",OFFSET('Smelter Look-up'!$C$4,$V148-4,0)&amp;"")</f>
        <v>Umicore Precious Metals Thailand</v>
      </c>
      <c r="S148" s="215" t="str">
        <f t="shared" ca="1" si="21"/>
        <v>TH</v>
      </c>
      <c r="T148" s="215" t="str">
        <f ca="1">IF(B148="","",IF(ISERROR(MATCH($J148,SorP!$B$1:$B$6230,0)),"",INDIRECT("'SorP'!$A$"&amp;MATCH($J148,SorP!$B$1:$B$6230,0))))</f>
        <v>TH-10</v>
      </c>
      <c r="U148" s="231"/>
      <c r="V148" s="262">
        <f>IF(C148="",NA(),IF(OR(C148="Smelter not listed",C148="Smelter not yet identified"),MATCH($B148&amp;$D148,'Smelter Look-up'!$J:$J,0),MATCH($B148&amp;$C148,'Smelter Look-up'!$J:$J,0)))</f>
        <v>292</v>
      </c>
      <c r="W148" s="263"/>
      <c r="X148" s="263">
        <f t="shared" si="22"/>
        <v>0</v>
      </c>
      <c r="Y148" s="263"/>
      <c r="Z148" s="263"/>
      <c r="AB148" s="265" t="str">
        <f t="shared" si="23"/>
        <v>GoldUmicore Precious Metals Thailand</v>
      </c>
    </row>
    <row r="149" spans="1:28" s="264" customFormat="1" ht="76.5">
      <c r="A149" s="207" t="s">
        <v>739</v>
      </c>
      <c r="B149" s="208" t="s">
        <v>1130</v>
      </c>
      <c r="C149" s="356" t="s">
        <v>820</v>
      </c>
      <c r="D149" s="270"/>
      <c r="E149" s="208" t="s">
        <v>2456</v>
      </c>
      <c r="F149" s="208" t="s">
        <v>739</v>
      </c>
      <c r="G149" s="208" t="s">
        <v>13320</v>
      </c>
      <c r="H149" s="357">
        <v>0</v>
      </c>
      <c r="I149" s="358" t="s">
        <v>1685</v>
      </c>
      <c r="J149" s="358" t="s">
        <v>1624</v>
      </c>
      <c r="K149" s="359"/>
      <c r="L149" s="359"/>
      <c r="M149" s="359"/>
      <c r="N149" s="359" t="s">
        <v>15769</v>
      </c>
      <c r="O149" s="359" t="s">
        <v>15769</v>
      </c>
      <c r="P149" s="360" t="s">
        <v>489</v>
      </c>
      <c r="Q149" s="361" t="s">
        <v>15768</v>
      </c>
      <c r="R149" s="208" t="str">
        <f ca="1">IF(ISERROR($V149),"",OFFSET('Smelter Look-up'!$C$4,$V149-4,0)&amp;"")</f>
        <v>United Precious Metal Refining, Inc.</v>
      </c>
      <c r="S149" s="215" t="str">
        <f t="shared" ca="1" si="21"/>
        <v>US</v>
      </c>
      <c r="T149" s="215" t="str">
        <f ca="1">IF(B149="","",IF(ISERROR(MATCH($J149,SorP!$B$1:$B$6230,0)),"",INDIRECT("'SorP'!$A$"&amp;MATCH($J149,SorP!$B$1:$B$6230,0))))</f>
        <v>US-NY</v>
      </c>
      <c r="U149" s="231"/>
      <c r="V149" s="262">
        <f>IF(C149="",NA(),IF(OR(C149="Smelter not listed",C149="Smelter not yet identified"),MATCH($B149&amp;$D149,'Smelter Look-up'!$J:$J,0),MATCH($B149&amp;$C149,'Smelter Look-up'!$J:$J,0)))</f>
        <v>294</v>
      </c>
      <c r="W149" s="263"/>
      <c r="X149" s="263">
        <f t="shared" si="22"/>
        <v>0</v>
      </c>
      <c r="Y149" s="263"/>
      <c r="Z149" s="263"/>
      <c r="AB149" s="265" t="str">
        <f t="shared" si="23"/>
        <v>GoldUnited Precious Metal Refining, Inc.</v>
      </c>
    </row>
    <row r="150" spans="1:28" s="264" customFormat="1" ht="38.25">
      <c r="A150" s="207" t="s">
        <v>740</v>
      </c>
      <c r="B150" s="208" t="s">
        <v>1130</v>
      </c>
      <c r="C150" s="356" t="s">
        <v>2356</v>
      </c>
      <c r="D150" s="270"/>
      <c r="E150" s="208" t="s">
        <v>1098</v>
      </c>
      <c r="F150" s="208" t="s">
        <v>740</v>
      </c>
      <c r="G150" s="208" t="s">
        <v>13320</v>
      </c>
      <c r="H150" s="357">
        <v>0</v>
      </c>
      <c r="I150" s="358" t="s">
        <v>1686</v>
      </c>
      <c r="J150" s="358" t="s">
        <v>1556</v>
      </c>
      <c r="K150" s="359"/>
      <c r="L150" s="359"/>
      <c r="M150" s="359"/>
      <c r="N150" s="359" t="s">
        <v>15771</v>
      </c>
      <c r="O150" s="359" t="s">
        <v>15771</v>
      </c>
      <c r="P150" s="360" t="s">
        <v>490</v>
      </c>
      <c r="Q150" s="361" t="s">
        <v>15768</v>
      </c>
      <c r="R150" s="208" t="str">
        <f ca="1">IF(ISERROR($V150),"",OFFSET('Smelter Look-up'!$C$4,$V150-4,0)&amp;"")</f>
        <v>Valcambi S.A.</v>
      </c>
      <c r="S150" s="215" t="str">
        <f t="shared" ca="1" si="21"/>
        <v>CH</v>
      </c>
      <c r="T150" s="215" t="str">
        <f ca="1">IF(B150="","",IF(ISERROR(MATCH($J150,SorP!$B$1:$B$6230,0)),"",INDIRECT("'SorP'!$A$"&amp;MATCH($J150,SorP!$B$1:$B$6230,0))))</f>
        <v>CH-TI</v>
      </c>
      <c r="U150" s="231"/>
      <c r="V150" s="262">
        <f>IF(C150="",NA(),IF(OR(C150="Smelter not listed",C150="Smelter not yet identified"),MATCH($B150&amp;$D150,'Smelter Look-up'!$J:$J,0),MATCH($B150&amp;$C150,'Smelter Look-up'!$J:$J,0)))</f>
        <v>295</v>
      </c>
      <c r="W150" s="263"/>
      <c r="X150" s="263">
        <f t="shared" si="22"/>
        <v>0</v>
      </c>
      <c r="Y150" s="263"/>
      <c r="Z150" s="263"/>
      <c r="AB150" s="265" t="str">
        <f t="shared" si="23"/>
        <v>GoldValcambi S.A.</v>
      </c>
    </row>
    <row r="151" spans="1:28" s="264" customFormat="1" ht="102">
      <c r="A151" s="207" t="s">
        <v>741</v>
      </c>
      <c r="B151" s="208" t="s">
        <v>1130</v>
      </c>
      <c r="C151" s="356" t="s">
        <v>2512</v>
      </c>
      <c r="D151" s="270"/>
      <c r="E151" s="208" t="s">
        <v>1093</v>
      </c>
      <c r="F151" s="208" t="s">
        <v>741</v>
      </c>
      <c r="G151" s="208" t="s">
        <v>13320</v>
      </c>
      <c r="H151" s="357">
        <v>0</v>
      </c>
      <c r="I151" s="358" t="s">
        <v>1687</v>
      </c>
      <c r="J151" s="358" t="s">
        <v>1688</v>
      </c>
      <c r="K151" s="359"/>
      <c r="L151" s="359"/>
      <c r="M151" s="359"/>
      <c r="N151" s="359" t="s">
        <v>15772</v>
      </c>
      <c r="O151" s="359" t="s">
        <v>15772</v>
      </c>
      <c r="P151" s="360" t="s">
        <v>490</v>
      </c>
      <c r="Q151" s="361" t="s">
        <v>15768</v>
      </c>
      <c r="R151" s="208" t="str">
        <f ca="1">IF(ISERROR($V151),"",OFFSET('Smelter Look-up'!$C$4,$V151-4,0)&amp;"")</f>
        <v>Western Australian Mint (T/a The Perth Mint)</v>
      </c>
      <c r="S151" s="215" t="str">
        <f t="shared" ca="1" si="21"/>
        <v>AU</v>
      </c>
      <c r="T151" s="215" t="str">
        <f ca="1">IF(B151="","",IF(ISERROR(MATCH($J151,SorP!$B$1:$B$6230,0)),"",INDIRECT("'SorP'!$A$"&amp;MATCH($J151,SorP!$B$1:$B$6230,0))))</f>
        <v>AU-WA</v>
      </c>
      <c r="U151" s="231"/>
      <c r="V151" s="262">
        <f>IF(C151="",NA(),IF(OR(C151="Smelter not listed",C151="Smelter not yet identified"),MATCH($B151&amp;$D151,'Smelter Look-up'!$J:$J,0),MATCH($B151&amp;$C151,'Smelter Look-up'!$J:$J,0)))</f>
        <v>298</v>
      </c>
      <c r="W151" s="263"/>
      <c r="X151" s="263">
        <f t="shared" si="22"/>
        <v>0</v>
      </c>
      <c r="Y151" s="263"/>
      <c r="Z151" s="263"/>
      <c r="AB151" s="265" t="str">
        <f t="shared" si="23"/>
        <v>GoldWestern Australian Mint (T/a The Perth Mint)</v>
      </c>
    </row>
    <row r="152" spans="1:28" s="264" customFormat="1" ht="63.75">
      <c r="A152" s="207" t="s">
        <v>2221</v>
      </c>
      <c r="B152" s="208" t="s">
        <v>1130</v>
      </c>
      <c r="C152" s="356" t="s">
        <v>2218</v>
      </c>
      <c r="D152" s="270"/>
      <c r="E152" s="208" t="s">
        <v>1101</v>
      </c>
      <c r="F152" s="208" t="s">
        <v>2221</v>
      </c>
      <c r="G152" s="208" t="s">
        <v>13320</v>
      </c>
      <c r="H152" s="357">
        <v>0</v>
      </c>
      <c r="I152" s="358" t="s">
        <v>1549</v>
      </c>
      <c r="J152" s="358" t="s">
        <v>1550</v>
      </c>
      <c r="K152" s="359"/>
      <c r="L152" s="359"/>
      <c r="M152" s="359"/>
      <c r="N152" s="359" t="s">
        <v>15769</v>
      </c>
      <c r="O152" s="359" t="s">
        <v>15769</v>
      </c>
      <c r="P152" s="360" t="s">
        <v>489</v>
      </c>
      <c r="Q152" s="361" t="s">
        <v>15768</v>
      </c>
      <c r="R152" s="208" t="str">
        <f ca="1">IF(ISERROR($V152),"",OFFSET('Smelter Look-up'!$C$4,$V152-4,0)&amp;"")</f>
        <v>WIELAND Edelmetalle GmbH</v>
      </c>
      <c r="S152" s="215" t="str">
        <f t="shared" ca="1" si="21"/>
        <v>DE</v>
      </c>
      <c r="T152" s="215" t="str">
        <f ca="1">IF(B152="","",IF(ISERROR(MATCH($J152,SorP!$B$1:$B$6230,0)),"",INDIRECT("'SorP'!$A$"&amp;MATCH($J152,SorP!$B$1:$B$6230,0))))</f>
        <v>DE-BW</v>
      </c>
      <c r="U152" s="231"/>
      <c r="V152" s="262">
        <f>IF(C152="",NA(),IF(OR(C152="Smelter not listed",C152="Smelter not yet identified"),MATCH($B152&amp;$D152,'Smelter Look-up'!$J:$J,0),MATCH($B152&amp;$C152,'Smelter Look-up'!$J:$J,0)))</f>
        <v>299</v>
      </c>
      <c r="W152" s="263"/>
      <c r="X152" s="263">
        <f t="shared" si="22"/>
        <v>0</v>
      </c>
      <c r="Y152" s="263"/>
      <c r="Z152" s="263"/>
      <c r="AB152" s="265" t="str">
        <f t="shared" si="23"/>
        <v>GoldWIELAND Edelmetalle GmbH</v>
      </c>
    </row>
    <row r="153" spans="1:28" s="264" customFormat="1" ht="51">
      <c r="A153" s="207" t="s">
        <v>742</v>
      </c>
      <c r="B153" s="208" t="s">
        <v>1130</v>
      </c>
      <c r="C153" s="356" t="s">
        <v>13006</v>
      </c>
      <c r="D153" s="270"/>
      <c r="E153" s="208" t="s">
        <v>1108</v>
      </c>
      <c r="F153" s="208" t="s">
        <v>742</v>
      </c>
      <c r="G153" s="208" t="s">
        <v>13320</v>
      </c>
      <c r="H153" s="357">
        <v>0</v>
      </c>
      <c r="I153" s="358" t="s">
        <v>13021</v>
      </c>
      <c r="J153" s="358" t="s">
        <v>6678</v>
      </c>
      <c r="K153" s="359"/>
      <c r="L153" s="359"/>
      <c r="M153" s="359"/>
      <c r="N153" s="359" t="s">
        <v>15769</v>
      </c>
      <c r="O153" s="359" t="s">
        <v>15769</v>
      </c>
      <c r="P153" s="360" t="s">
        <v>489</v>
      </c>
      <c r="Q153" s="361" t="s">
        <v>15768</v>
      </c>
      <c r="R153" s="208" t="str">
        <f ca="1">IF(ISERROR($V153),"",OFFSET('Smelter Look-up'!$C$4,$V153-4,0)&amp;"")</f>
        <v>Yamakin Co., Ltd.</v>
      </c>
      <c r="S153" s="215" t="str">
        <f t="shared" ca="1" si="21"/>
        <v>JP</v>
      </c>
      <c r="T153" s="215" t="str">
        <f ca="1">IF(B153="","",IF(ISERROR(MATCH($J153,SorP!$B$1:$B$6230,0)),"",INDIRECT("'SorP'!$A$"&amp;MATCH($J153,SorP!$B$1:$B$6230,0))))</f>
        <v>JP-39</v>
      </c>
      <c r="U153" s="231"/>
      <c r="V153" s="262">
        <f>IF(C153="",NA(),IF(OR(C153="Smelter not listed",C153="Smelter not yet identified"),MATCH($B153&amp;$D153,'Smelter Look-up'!$J:$J,0),MATCH($B153&amp;$C153,'Smelter Look-up'!$J:$J,0)))</f>
        <v>302</v>
      </c>
      <c r="W153" s="263"/>
      <c r="X153" s="263">
        <f t="shared" si="22"/>
        <v>0</v>
      </c>
      <c r="Y153" s="263"/>
      <c r="Z153" s="263"/>
      <c r="AB153" s="265" t="str">
        <f t="shared" si="23"/>
        <v>GoldYamakin Co., Ltd.</v>
      </c>
    </row>
    <row r="154" spans="1:28" s="264" customFormat="1" ht="63.75">
      <c r="A154" s="207" t="s">
        <v>743</v>
      </c>
      <c r="B154" s="208" t="s">
        <v>1130</v>
      </c>
      <c r="C154" s="356" t="s">
        <v>2180</v>
      </c>
      <c r="D154" s="270"/>
      <c r="E154" s="208" t="s">
        <v>1108</v>
      </c>
      <c r="F154" s="208" t="s">
        <v>743</v>
      </c>
      <c r="G154" s="208" t="s">
        <v>13320</v>
      </c>
      <c r="H154" s="357">
        <v>0</v>
      </c>
      <c r="I154" s="358" t="s">
        <v>1693</v>
      </c>
      <c r="J154" s="358" t="s">
        <v>1672</v>
      </c>
      <c r="K154" s="359"/>
      <c r="L154" s="359"/>
      <c r="M154" s="359"/>
      <c r="N154" s="359" t="s">
        <v>15770</v>
      </c>
      <c r="O154" s="359" t="s">
        <v>15770</v>
      </c>
      <c r="P154" s="360" t="s">
        <v>488</v>
      </c>
      <c r="Q154" s="361" t="s">
        <v>15768</v>
      </c>
      <c r="R154" s="208" t="str">
        <f ca="1">IF(ISERROR($V154),"",OFFSET('Smelter Look-up'!$C$4,$V154-4,0)&amp;"")</f>
        <v>Yokohama Metal Co., Ltd.</v>
      </c>
      <c r="S154" s="215" t="str">
        <f t="shared" ca="1" si="21"/>
        <v>JP</v>
      </c>
      <c r="T154" s="215" t="str">
        <f ca="1">IF(B154="","",IF(ISERROR(MATCH($J154,SorP!$B$1:$B$6230,0)),"",INDIRECT("'SorP'!$A$"&amp;MATCH($J154,SorP!$B$1:$B$6230,0))))</f>
        <v>JP-14</v>
      </c>
      <c r="U154" s="231"/>
      <c r="V154" s="262">
        <f>IF(C154="",NA(),IF(OR(C154="Smelter not listed",C154="Smelter not yet identified"),MATCH($B154&amp;$D154,'Smelter Look-up'!$J:$J,0),MATCH($B154&amp;$C154,'Smelter Look-up'!$J:$J,0)))</f>
        <v>307</v>
      </c>
      <c r="W154" s="263"/>
      <c r="X154" s="263">
        <f t="shared" si="22"/>
        <v>0</v>
      </c>
      <c r="Y154" s="263"/>
      <c r="Z154" s="263"/>
      <c r="AB154" s="265" t="str">
        <f t="shared" si="23"/>
        <v>GoldYokohama Metal Co., Ltd.</v>
      </c>
    </row>
    <row r="155" spans="1:28" s="264" customFormat="1" ht="114.75">
      <c r="A155" s="207" t="s">
        <v>745</v>
      </c>
      <c r="B155" s="208" t="s">
        <v>1130</v>
      </c>
      <c r="C155" s="356" t="s">
        <v>1325</v>
      </c>
      <c r="D155" s="270"/>
      <c r="E155" s="208" t="s">
        <v>1100</v>
      </c>
      <c r="F155" s="208" t="s">
        <v>745</v>
      </c>
      <c r="G155" s="208" t="s">
        <v>13320</v>
      </c>
      <c r="H155" s="357">
        <v>0</v>
      </c>
      <c r="I155" s="358" t="s">
        <v>1694</v>
      </c>
      <c r="J155" s="358" t="s">
        <v>13701</v>
      </c>
      <c r="K155" s="359"/>
      <c r="L155" s="359"/>
      <c r="M155" s="359"/>
      <c r="N155" s="359" t="s">
        <v>15772</v>
      </c>
      <c r="O155" s="359" t="s">
        <v>15772</v>
      </c>
      <c r="P155" s="360" t="s">
        <v>490</v>
      </c>
      <c r="Q155" s="361" t="s">
        <v>15768</v>
      </c>
      <c r="R155" s="208" t="str">
        <f ca="1">IF(ISERROR($V155),"",OFFSET('Smelter Look-up'!$C$4,$V155-4,0)&amp;"")</f>
        <v>Zhongyuan Gold Smelter of Zhongjin Gold Corporation</v>
      </c>
      <c r="S155" s="215" t="str">
        <f t="shared" ca="1" si="21"/>
        <v>CN</v>
      </c>
      <c r="T155" s="215" t="str">
        <f ca="1">IF(B155="","",IF(ISERROR(MATCH($J155,SorP!$B$1:$B$6230,0)),"",INDIRECT("'SorP'!$A$"&amp;MATCH($J155,SorP!$B$1:$B$6230,0))))</f>
        <v>CN-HA</v>
      </c>
      <c r="U155" s="231"/>
      <c r="V155" s="262">
        <f>IF(C155="",NA(),IF(OR(C155="Smelter not listed",C155="Smelter not yet identified"),MATCH($B155&amp;$D155,'Smelter Look-up'!$J:$J,0),MATCH($B155&amp;$C155,'Smelter Look-up'!$J:$J,0)))</f>
        <v>317</v>
      </c>
      <c r="W155" s="263"/>
      <c r="X155" s="263">
        <f t="shared" si="22"/>
        <v>0</v>
      </c>
      <c r="Y155" s="263"/>
      <c r="Z155" s="263"/>
      <c r="AB155" s="265" t="str">
        <f t="shared" si="23"/>
        <v>GoldZhongyuan Gold Smelter of Zhongjin Gold Corporation</v>
      </c>
    </row>
    <row r="156" spans="1:28" s="264" customFormat="1" ht="114.75">
      <c r="A156" s="207" t="s">
        <v>747</v>
      </c>
      <c r="B156" s="208" t="s">
        <v>1132</v>
      </c>
      <c r="C156" s="356" t="s">
        <v>2</v>
      </c>
      <c r="D156" s="270"/>
      <c r="E156" s="208" t="s">
        <v>1100</v>
      </c>
      <c r="F156" s="208" t="s">
        <v>747</v>
      </c>
      <c r="G156" s="208" t="s">
        <v>13320</v>
      </c>
      <c r="H156" s="357">
        <v>0</v>
      </c>
      <c r="I156" s="358" t="s">
        <v>1597</v>
      </c>
      <c r="J156" s="358" t="s">
        <v>13703</v>
      </c>
      <c r="K156" s="359"/>
      <c r="L156" s="359"/>
      <c r="M156" s="359"/>
      <c r="N156" s="359" t="s">
        <v>15773</v>
      </c>
      <c r="O156" s="359" t="s">
        <v>15773</v>
      </c>
      <c r="P156" s="360" t="s">
        <v>489</v>
      </c>
      <c r="Q156" s="361" t="s">
        <v>15768</v>
      </c>
      <c r="R156" s="208" t="str">
        <f ca="1">IF(ISERROR($V156),"",OFFSET('Smelter Look-up'!$C$4,$V156-4,0)&amp;"")</f>
        <v>Changsha South Tantalum Niobium Co., Ltd.</v>
      </c>
      <c r="S156" s="215" t="str">
        <f t="shared" ca="1" si="21"/>
        <v>CN</v>
      </c>
      <c r="T156" s="215" t="str">
        <f ca="1">IF(B156="","",IF(ISERROR(MATCH($J156,SorP!$B$1:$B$6230,0)),"",INDIRECT("'SorP'!$A$"&amp;MATCH($J156,SorP!$B$1:$B$6230,0))))</f>
        <v>CN-HN</v>
      </c>
      <c r="U156" s="231"/>
      <c r="V156" s="262">
        <f>IF(C156="",NA(),IF(OR(C156="Smelter not listed",C156="Smelter not yet identified"),MATCH($B156&amp;$D156,'Smelter Look-up'!$J:$J,0),MATCH($B156&amp;$C156,'Smelter Look-up'!$J:$J,0)))</f>
        <v>325</v>
      </c>
      <c r="W156" s="263"/>
      <c r="X156" s="263">
        <f t="shared" si="22"/>
        <v>0</v>
      </c>
      <c r="Y156" s="263"/>
      <c r="Z156" s="263"/>
      <c r="AB156" s="265" t="str">
        <f t="shared" si="23"/>
        <v>TantalumChangsha South Tantalum Niobium Co., Ltd.</v>
      </c>
    </row>
    <row r="157" spans="1:28" s="264" customFormat="1" ht="63.75">
      <c r="A157" s="207" t="s">
        <v>1396</v>
      </c>
      <c r="B157" s="208" t="s">
        <v>1132</v>
      </c>
      <c r="C157" s="356" t="s">
        <v>1395</v>
      </c>
      <c r="D157" s="270"/>
      <c r="E157" s="208" t="s">
        <v>2456</v>
      </c>
      <c r="F157" s="208" t="s">
        <v>1396</v>
      </c>
      <c r="G157" s="208" t="s">
        <v>13320</v>
      </c>
      <c r="H157" s="357">
        <v>0</v>
      </c>
      <c r="I157" s="358" t="s">
        <v>1752</v>
      </c>
      <c r="J157" s="358" t="s">
        <v>1753</v>
      </c>
      <c r="K157" s="359"/>
      <c r="L157" s="359"/>
      <c r="M157" s="359"/>
      <c r="N157" s="359" t="s">
        <v>15774</v>
      </c>
      <c r="O157" s="359" t="s">
        <v>15774</v>
      </c>
      <c r="P157" s="360" t="s">
        <v>489</v>
      </c>
      <c r="Q157" s="361" t="s">
        <v>15768</v>
      </c>
      <c r="R157" s="208" t="str">
        <f ca="1">IF(ISERROR($V157),"",OFFSET('Smelter Look-up'!$C$4,$V157-4,0)&amp;"")</f>
        <v>D Block Metals, LLC</v>
      </c>
      <c r="S157" s="215" t="str">
        <f t="shared" ca="1" si="21"/>
        <v>US</v>
      </c>
      <c r="T157" s="215" t="str">
        <f ca="1">IF(B157="","",IF(ISERROR(MATCH($J157,SorP!$B$1:$B$6230,0)),"",INDIRECT("'SorP'!$A$"&amp;MATCH($J157,SorP!$B$1:$B$6230,0))))</f>
        <v>US-NC</v>
      </c>
      <c r="U157" s="231"/>
      <c r="V157" s="262">
        <f>IF(C157="",NA(),IF(OR(C157="Smelter not listed",C157="Smelter not yet identified"),MATCH($B157&amp;$D157,'Smelter Look-up'!$J:$J,0),MATCH($B157&amp;$C157,'Smelter Look-up'!$J:$J,0)))</f>
        <v>327</v>
      </c>
      <c r="W157" s="263"/>
      <c r="X157" s="263">
        <f t="shared" si="22"/>
        <v>0</v>
      </c>
      <c r="Y157" s="263"/>
      <c r="Z157" s="263"/>
      <c r="AB157" s="265" t="str">
        <f t="shared" si="23"/>
        <v>TantalumD Block Metals, LLC</v>
      </c>
    </row>
    <row r="158" spans="1:28" s="264" customFormat="1" ht="63.75">
      <c r="A158" s="207" t="s">
        <v>749</v>
      </c>
      <c r="B158" s="208" t="s">
        <v>1132</v>
      </c>
      <c r="C158" s="356" t="s">
        <v>45</v>
      </c>
      <c r="D158" s="270"/>
      <c r="E158" s="208" t="s">
        <v>1100</v>
      </c>
      <c r="F158" s="208" t="s">
        <v>749</v>
      </c>
      <c r="G158" s="208" t="s">
        <v>13320</v>
      </c>
      <c r="H158" s="357">
        <v>0</v>
      </c>
      <c r="I158" s="358" t="s">
        <v>1727</v>
      </c>
      <c r="J158" s="358" t="s">
        <v>13704</v>
      </c>
      <c r="K158" s="359"/>
      <c r="L158" s="359"/>
      <c r="M158" s="359"/>
      <c r="N158" s="359" t="s">
        <v>15774</v>
      </c>
      <c r="O158" s="359" t="s">
        <v>15774</v>
      </c>
      <c r="P158" s="360" t="s">
        <v>489</v>
      </c>
      <c r="Q158" s="361" t="s">
        <v>15768</v>
      </c>
      <c r="R158" s="208" t="str">
        <f ca="1">IF(ISERROR($V158),"",OFFSET('Smelter Look-up'!$C$4,$V158-4,0)&amp;"")</f>
        <v>F&amp;X Electro-Materials Ltd.</v>
      </c>
      <c r="S158" s="215" t="str">
        <f t="shared" ca="1" si="21"/>
        <v>CN</v>
      </c>
      <c r="T158" s="215" t="str">
        <f ca="1">IF(B158="","",IF(ISERROR(MATCH($J158,SorP!$B$1:$B$6230,0)),"",INDIRECT("'SorP'!$A$"&amp;MATCH($J158,SorP!$B$1:$B$6230,0))))</f>
        <v>CN-GD</v>
      </c>
      <c r="U158" s="231"/>
      <c r="V158" s="262">
        <f>IF(C158="",NA(),IF(OR(C158="Smelter not listed",C158="Smelter not yet identified"),MATCH($B158&amp;$D158,'Smelter Look-up'!$J:$J,0),MATCH($B158&amp;$C158,'Smelter Look-up'!$J:$J,0)))</f>
        <v>330</v>
      </c>
      <c r="W158" s="263"/>
      <c r="X158" s="263">
        <f t="shared" si="22"/>
        <v>0</v>
      </c>
      <c r="Y158" s="263"/>
      <c r="Z158" s="263"/>
      <c r="AB158" s="265" t="str">
        <f t="shared" si="23"/>
        <v>TantalumF&amp;X Electro-Materials Ltd.</v>
      </c>
    </row>
    <row r="159" spans="1:28" s="264" customFormat="1" ht="76.5">
      <c r="A159" s="207" t="s">
        <v>1397</v>
      </c>
      <c r="B159" s="208" t="s">
        <v>1132</v>
      </c>
      <c r="C159" s="356" t="s">
        <v>2183</v>
      </c>
      <c r="D159" s="270"/>
      <c r="E159" s="208" t="s">
        <v>1100</v>
      </c>
      <c r="F159" s="208" t="s">
        <v>1397</v>
      </c>
      <c r="G159" s="208" t="s">
        <v>13320</v>
      </c>
      <c r="H159" s="357">
        <v>0</v>
      </c>
      <c r="I159" s="358" t="s">
        <v>1743</v>
      </c>
      <c r="J159" s="358" t="s">
        <v>13703</v>
      </c>
      <c r="K159" s="359"/>
      <c r="L159" s="359"/>
      <c r="M159" s="359"/>
      <c r="N159" s="359" t="s">
        <v>15774</v>
      </c>
      <c r="O159" s="359" t="s">
        <v>15774</v>
      </c>
      <c r="P159" s="360" t="s">
        <v>489</v>
      </c>
      <c r="Q159" s="361" t="s">
        <v>15768</v>
      </c>
      <c r="R159" s="208" t="str">
        <f ca="1">IF(ISERROR($V159),"",OFFSET('Smelter Look-up'!$C$4,$V159-4,0)&amp;"")</f>
        <v>FIR Metals &amp; Resource Ltd.</v>
      </c>
      <c r="S159" s="215" t="str">
        <f t="shared" ca="1" si="21"/>
        <v>CN</v>
      </c>
      <c r="T159" s="215" t="str">
        <f ca="1">IF(B159="","",IF(ISERROR(MATCH($J159,SorP!$B$1:$B$6230,0)),"",INDIRECT("'SorP'!$A$"&amp;MATCH($J159,SorP!$B$1:$B$6230,0))))</f>
        <v>CN-HN</v>
      </c>
      <c r="U159" s="231"/>
      <c r="V159" s="262">
        <f>IF(C159="",NA(),IF(OR(C159="Smelter not listed",C159="Smelter not yet identified"),MATCH($B159&amp;$D159,'Smelter Look-up'!$J:$J,0),MATCH($B159&amp;$C159,'Smelter Look-up'!$J:$J,0)))</f>
        <v>331</v>
      </c>
      <c r="W159" s="263"/>
      <c r="X159" s="263">
        <f t="shared" si="22"/>
        <v>0</v>
      </c>
      <c r="Y159" s="263"/>
      <c r="Z159" s="263"/>
      <c r="AB159" s="265" t="str">
        <f t="shared" si="23"/>
        <v>TantalumFIR Metals &amp; Resource Ltd.</v>
      </c>
    </row>
    <row r="160" spans="1:28" s="264" customFormat="1" ht="76.5">
      <c r="A160" s="207" t="s">
        <v>1412</v>
      </c>
      <c r="B160" s="208" t="s">
        <v>1132</v>
      </c>
      <c r="C160" s="356" t="s">
        <v>1411</v>
      </c>
      <c r="D160" s="270"/>
      <c r="E160" s="208" t="s">
        <v>1108</v>
      </c>
      <c r="F160" s="208" t="s">
        <v>1412</v>
      </c>
      <c r="G160" s="208" t="s">
        <v>13320</v>
      </c>
      <c r="H160" s="357">
        <v>0</v>
      </c>
      <c r="I160" s="358" t="s">
        <v>1767</v>
      </c>
      <c r="J160" s="358" t="s">
        <v>1561</v>
      </c>
      <c r="K160" s="359"/>
      <c r="L160" s="359"/>
      <c r="M160" s="359"/>
      <c r="N160" s="359" t="s">
        <v>15774</v>
      </c>
      <c r="O160" s="359" t="s">
        <v>15774</v>
      </c>
      <c r="P160" s="360" t="s">
        <v>489</v>
      </c>
      <c r="Q160" s="361" t="s">
        <v>15768</v>
      </c>
      <c r="R160" s="208" t="str">
        <f ca="1">IF(ISERROR($V160),"",OFFSET('Smelter Look-up'!$C$4,$V160-4,0)&amp;"")</f>
        <v>Global Advanced Metals Aizu</v>
      </c>
      <c r="S160" s="215" t="str">
        <f t="shared" ca="1" si="21"/>
        <v>JP</v>
      </c>
      <c r="T160" s="215" t="str">
        <f ca="1">IF(B160="","",IF(ISERROR(MATCH($J160,SorP!$B$1:$B$6230,0)),"",INDIRECT("'SorP'!$A$"&amp;MATCH($J160,SorP!$B$1:$B$6230,0))))</f>
        <v>JP-07</v>
      </c>
      <c r="U160" s="231"/>
      <c r="V160" s="262">
        <f>IF(C160="",NA(),IF(OR(C160="Smelter not listed",C160="Smelter not yet identified"),MATCH($B160&amp;$D160,'Smelter Look-up'!$J:$J,0),MATCH($B160&amp;$C160,'Smelter Look-up'!$J:$J,0)))</f>
        <v>332</v>
      </c>
      <c r="W160" s="263"/>
      <c r="X160" s="263">
        <f t="shared" si="22"/>
        <v>0</v>
      </c>
      <c r="Y160" s="263"/>
      <c r="Z160" s="263"/>
      <c r="AB160" s="265" t="str">
        <f t="shared" si="23"/>
        <v>TantalumGlobal Advanced Metals Aizu</v>
      </c>
    </row>
    <row r="161" spans="1:28" s="264" customFormat="1" ht="89.25">
      <c r="A161" s="207" t="s">
        <v>1414</v>
      </c>
      <c r="B161" s="208" t="s">
        <v>1132</v>
      </c>
      <c r="C161" s="356" t="s">
        <v>1413</v>
      </c>
      <c r="D161" s="270"/>
      <c r="E161" s="208" t="s">
        <v>2456</v>
      </c>
      <c r="F161" s="208" t="s">
        <v>1414</v>
      </c>
      <c r="G161" s="208" t="s">
        <v>13320</v>
      </c>
      <c r="H161" s="357">
        <v>0</v>
      </c>
      <c r="I161" s="358" t="s">
        <v>1766</v>
      </c>
      <c r="J161" s="358" t="s">
        <v>1748</v>
      </c>
      <c r="K161" s="359"/>
      <c r="L161" s="359"/>
      <c r="M161" s="359"/>
      <c r="N161" s="359" t="s">
        <v>15774</v>
      </c>
      <c r="O161" s="359" t="s">
        <v>15774</v>
      </c>
      <c r="P161" s="360" t="s">
        <v>489</v>
      </c>
      <c r="Q161" s="361" t="s">
        <v>15768</v>
      </c>
      <c r="R161" s="208" t="str">
        <f ca="1">IF(ISERROR($V161),"",OFFSET('Smelter Look-up'!$C$4,$V161-4,0)&amp;"")</f>
        <v>Global Advanced Metals Boyertown</v>
      </c>
      <c r="S161" s="215" t="str">
        <f t="shared" ca="1" si="21"/>
        <v>US</v>
      </c>
      <c r="T161" s="215" t="str">
        <f ca="1">IF(B161="","",IF(ISERROR(MATCH($J161,SorP!$B$1:$B$6230,0)),"",INDIRECT("'SorP'!$A$"&amp;MATCH($J161,SorP!$B$1:$B$6230,0))))</f>
        <v>US-PA</v>
      </c>
      <c r="U161" s="231"/>
      <c r="V161" s="262">
        <f>IF(C161="",NA(),IF(OR(C161="Smelter not listed",C161="Smelter not yet identified"),MATCH($B161&amp;$D161,'Smelter Look-up'!$J:$J,0),MATCH($B161&amp;$C161,'Smelter Look-up'!$J:$J,0)))</f>
        <v>333</v>
      </c>
      <c r="W161" s="263"/>
      <c r="X161" s="263">
        <f t="shared" si="22"/>
        <v>0</v>
      </c>
      <c r="Y161" s="263"/>
      <c r="Z161" s="263"/>
      <c r="AB161" s="265" t="str">
        <f t="shared" si="23"/>
        <v>TantalumGlobal Advanced Metals Boyertown</v>
      </c>
    </row>
    <row r="162" spans="1:28" s="264" customFormat="1" ht="102">
      <c r="A162" s="207" t="s">
        <v>751</v>
      </c>
      <c r="B162" s="208" t="s">
        <v>1132</v>
      </c>
      <c r="C162" s="356" t="s">
        <v>750</v>
      </c>
      <c r="D162" s="270"/>
      <c r="E162" s="208" t="s">
        <v>1100</v>
      </c>
      <c r="F162" s="208" t="s">
        <v>751</v>
      </c>
      <c r="G162" s="208" t="s">
        <v>13320</v>
      </c>
      <c r="H162" s="357">
        <v>0</v>
      </c>
      <c r="I162" s="358" t="s">
        <v>1729</v>
      </c>
      <c r="J162" s="358" t="s">
        <v>13704</v>
      </c>
      <c r="K162" s="359"/>
      <c r="L162" s="359"/>
      <c r="M162" s="359"/>
      <c r="N162" s="359" t="s">
        <v>15774</v>
      </c>
      <c r="O162" s="359" t="s">
        <v>15774</v>
      </c>
      <c r="P162" s="360" t="s">
        <v>489</v>
      </c>
      <c r="Q162" s="361" t="s">
        <v>15768</v>
      </c>
      <c r="R162" s="208" t="str">
        <f ca="1">IF(ISERROR($V162),"",OFFSET('Smelter Look-up'!$C$4,$V162-4,0)&amp;"")</f>
        <v>XIMEI RESOURCES (GUANGDONG) LIMITED</v>
      </c>
      <c r="S162" s="215" t="str">
        <f t="shared" ca="1" si="21"/>
        <v>CN</v>
      </c>
      <c r="T162" s="215" t="str">
        <f ca="1">IF(B162="","",IF(ISERROR(MATCH($J162,SorP!$B$1:$B$6230,0)),"",INDIRECT("'SorP'!$A$"&amp;MATCH($J162,SorP!$B$1:$B$6230,0))))</f>
        <v>CN-GD</v>
      </c>
      <c r="U162" s="231"/>
      <c r="V162" s="262">
        <f>IF(C162="",NA(),IF(OR(C162="Smelter not listed",C162="Smelter not yet identified"),MATCH($B162&amp;$D162,'Smelter Look-up'!$J:$J,0),MATCH($B162&amp;$C162,'Smelter Look-up'!$J:$J,0)))</f>
        <v>334</v>
      </c>
      <c r="W162" s="263"/>
      <c r="X162" s="263">
        <f t="shared" si="22"/>
        <v>0</v>
      </c>
      <c r="Y162" s="263"/>
      <c r="Z162" s="263"/>
      <c r="AB162" s="265" t="str">
        <f t="shared" si="23"/>
        <v>TantalumGuangdong Zhiyuan New Material Co., Ltd.</v>
      </c>
    </row>
    <row r="163" spans="1:28" s="264" customFormat="1" ht="63.75">
      <c r="A163" s="207" t="s">
        <v>1416</v>
      </c>
      <c r="B163" s="208" t="s">
        <v>1132</v>
      </c>
      <c r="C163" s="356" t="s">
        <v>1415</v>
      </c>
      <c r="D163" s="270"/>
      <c r="E163" s="208" t="s">
        <v>888</v>
      </c>
      <c r="F163" s="208" t="s">
        <v>1416</v>
      </c>
      <c r="G163" s="208" t="s">
        <v>13320</v>
      </c>
      <c r="H163" s="357">
        <v>0</v>
      </c>
      <c r="I163" s="358" t="s">
        <v>1758</v>
      </c>
      <c r="J163" s="358" t="s">
        <v>1759</v>
      </c>
      <c r="K163" s="359"/>
      <c r="L163" s="359"/>
      <c r="M163" s="359"/>
      <c r="N163" s="359" t="s">
        <v>15774</v>
      </c>
      <c r="O163" s="359" t="s">
        <v>15774</v>
      </c>
      <c r="P163" s="360" t="s">
        <v>489</v>
      </c>
      <c r="Q163" s="361" t="s">
        <v>15768</v>
      </c>
      <c r="R163" s="208" t="str">
        <f ca="1">IF(ISERROR($V163),"",OFFSET('Smelter Look-up'!$C$4,$V163-4,0)&amp;"")</f>
        <v>TANIOBIS Co., Ltd.</v>
      </c>
      <c r="S163" s="215" t="str">
        <f t="shared" ca="1" si="21"/>
        <v>TH</v>
      </c>
      <c r="T163" s="215" t="str">
        <f ca="1">IF(B163="","",IF(ISERROR(MATCH($J163,SorP!$B$1:$B$6230,0)),"",INDIRECT("'SorP'!$A$"&amp;MATCH($J163,SorP!$B$1:$B$6230,0))))</f>
        <v>TH-21</v>
      </c>
      <c r="U163" s="231"/>
      <c r="V163" s="262">
        <f>IF(C163="",NA(),IF(OR(C163="Smelter not listed",C163="Smelter not yet identified"),MATCH($B163&amp;$D163,'Smelter Look-up'!$J:$J,0),MATCH($B163&amp;$C163,'Smelter Look-up'!$J:$J,0)))</f>
        <v>335</v>
      </c>
      <c r="W163" s="263"/>
      <c r="X163" s="263">
        <f t="shared" si="22"/>
        <v>0</v>
      </c>
      <c r="Y163" s="263"/>
      <c r="Z163" s="263"/>
      <c r="AB163" s="265" t="str">
        <f t="shared" si="23"/>
        <v>TantalumH.C. Starck Co., Ltd.</v>
      </c>
    </row>
    <row r="164" spans="1:28" s="264" customFormat="1" ht="63.75">
      <c r="A164" s="207" t="s">
        <v>1419</v>
      </c>
      <c r="B164" s="208" t="s">
        <v>1132</v>
      </c>
      <c r="C164" s="356" t="s">
        <v>1418</v>
      </c>
      <c r="D164" s="270"/>
      <c r="E164" s="208" t="s">
        <v>1101</v>
      </c>
      <c r="F164" s="208" t="s">
        <v>1419</v>
      </c>
      <c r="G164" s="208" t="s">
        <v>13320</v>
      </c>
      <c r="H164" s="357">
        <v>0</v>
      </c>
      <c r="I164" s="358" t="s">
        <v>1762</v>
      </c>
      <c r="J164" s="358" t="s">
        <v>4248</v>
      </c>
      <c r="K164" s="359"/>
      <c r="L164" s="359"/>
      <c r="M164" s="359"/>
      <c r="N164" s="359" t="s">
        <v>15774</v>
      </c>
      <c r="O164" s="359" t="s">
        <v>15774</v>
      </c>
      <c r="P164" s="360" t="s">
        <v>489</v>
      </c>
      <c r="Q164" s="361" t="s">
        <v>15768</v>
      </c>
      <c r="R164" s="208" t="str">
        <f ca="1">IF(ISERROR($V164),"",OFFSET('Smelter Look-up'!$C$4,$V164-4,0)&amp;"")</f>
        <v>H.C. Starck Hermsdorf GmbH</v>
      </c>
      <c r="S164" s="215" t="str">
        <f t="shared" ca="1" si="21"/>
        <v>DE</v>
      </c>
      <c r="T164" s="215" t="str">
        <f ca="1">IF(B164="","",IF(ISERROR(MATCH($J164,SorP!$B$1:$B$6230,0)),"",INDIRECT("'SorP'!$A$"&amp;MATCH($J164,SorP!$B$1:$B$6230,0))))</f>
        <v>DE-TH</v>
      </c>
      <c r="U164" s="231"/>
      <c r="V164" s="262">
        <f>IF(C164="",NA(),IF(OR(C164="Smelter not listed",C164="Smelter not yet identified"),MATCH($B164&amp;$D164,'Smelter Look-up'!$J:$J,0),MATCH($B164&amp;$C164,'Smelter Look-up'!$J:$J,0)))</f>
        <v>336</v>
      </c>
      <c r="W164" s="263"/>
      <c r="X164" s="263">
        <f t="shared" si="22"/>
        <v>0</v>
      </c>
      <c r="Y164" s="263"/>
      <c r="Z164" s="263"/>
      <c r="AB164" s="265" t="str">
        <f t="shared" si="23"/>
        <v>TantalumH.C. Starck Hermsdorf GmbH</v>
      </c>
    </row>
    <row r="165" spans="1:28" s="264" customFormat="1" ht="51">
      <c r="A165" s="207" t="s">
        <v>1421</v>
      </c>
      <c r="B165" s="208" t="s">
        <v>1132</v>
      </c>
      <c r="C165" s="356" t="s">
        <v>1420</v>
      </c>
      <c r="D165" s="270"/>
      <c r="E165" s="208" t="s">
        <v>2456</v>
      </c>
      <c r="F165" s="208" t="s">
        <v>1421</v>
      </c>
      <c r="G165" s="208" t="s">
        <v>13320</v>
      </c>
      <c r="H165" s="357">
        <v>0</v>
      </c>
      <c r="I165" s="358" t="s">
        <v>1763</v>
      </c>
      <c r="J165" s="358" t="s">
        <v>1632</v>
      </c>
      <c r="K165" s="359"/>
      <c r="L165" s="359"/>
      <c r="M165" s="359"/>
      <c r="N165" s="359" t="s">
        <v>15774</v>
      </c>
      <c r="O165" s="359" t="s">
        <v>15774</v>
      </c>
      <c r="P165" s="360" t="s">
        <v>489</v>
      </c>
      <c r="Q165" s="361" t="s">
        <v>15768</v>
      </c>
      <c r="R165" s="208" t="str">
        <f ca="1">IF(ISERROR($V165),"",OFFSET('Smelter Look-up'!$C$4,$V165-4,0)&amp;"")</f>
        <v>H.C. Starck Inc.</v>
      </c>
      <c r="S165" s="215" t="str">
        <f t="shared" ca="1" si="21"/>
        <v>US</v>
      </c>
      <c r="T165" s="215" t="str">
        <f ca="1">IF(B165="","",IF(ISERROR(MATCH($J165,SorP!$B$1:$B$6230,0)),"",INDIRECT("'SorP'!$A$"&amp;MATCH($J165,SorP!$B$1:$B$6230,0))))</f>
        <v>US-MA</v>
      </c>
      <c r="U165" s="231"/>
      <c r="V165" s="262">
        <f>IF(C165="",NA(),IF(OR(C165="Smelter not listed",C165="Smelter not yet identified"),MATCH($B165&amp;$D165,'Smelter Look-up'!$J:$J,0),MATCH($B165&amp;$C165,'Smelter Look-up'!$J:$J,0)))</f>
        <v>337</v>
      </c>
      <c r="W165" s="263"/>
      <c r="X165" s="263">
        <f t="shared" si="22"/>
        <v>0</v>
      </c>
      <c r="Y165" s="263"/>
      <c r="Z165" s="263"/>
      <c r="AB165" s="265" t="str">
        <f t="shared" si="23"/>
        <v>TantalumH.C. Starck Inc.</v>
      </c>
    </row>
    <row r="166" spans="1:28" s="264" customFormat="1" ht="51">
      <c r="A166" s="207" t="s">
        <v>1423</v>
      </c>
      <c r="B166" s="208" t="s">
        <v>1132</v>
      </c>
      <c r="C166" s="356" t="s">
        <v>1422</v>
      </c>
      <c r="D166" s="270"/>
      <c r="E166" s="208" t="s">
        <v>1108</v>
      </c>
      <c r="F166" s="208" t="s">
        <v>1423</v>
      </c>
      <c r="G166" s="208" t="s">
        <v>13320</v>
      </c>
      <c r="H166" s="357">
        <v>0</v>
      </c>
      <c r="I166" s="358" t="s">
        <v>1764</v>
      </c>
      <c r="J166" s="358" t="s">
        <v>1765</v>
      </c>
      <c r="K166" s="359"/>
      <c r="L166" s="359"/>
      <c r="M166" s="359"/>
      <c r="N166" s="359" t="s">
        <v>15774</v>
      </c>
      <c r="O166" s="359" t="s">
        <v>15774</v>
      </c>
      <c r="P166" s="360" t="s">
        <v>489</v>
      </c>
      <c r="Q166" s="361" t="s">
        <v>15768</v>
      </c>
      <c r="R166" s="208" t="str">
        <f ca="1">IF(ISERROR($V166),"",OFFSET('Smelter Look-up'!$C$4,$V166-4,0)&amp;"")</f>
        <v>TANIOBIS Japan Co., Ltd.</v>
      </c>
      <c r="S166" s="215" t="str">
        <f t="shared" ref="S166:S196" ca="1" si="24">IF(B166="","",IF(ISERROR(MATCH($E166,CL,0)),"Unknown",INDIRECT("'C'!$A$"&amp;MATCH($E166,CL,0)+1)))</f>
        <v>JP</v>
      </c>
      <c r="T166" s="215" t="str">
        <f ca="1">IF(B166="","",IF(ISERROR(MATCH($J166,SorP!$B$1:$B$6230,0)),"",INDIRECT("'SorP'!$A$"&amp;MATCH($J166,SorP!$B$1:$B$6230,0))))</f>
        <v>JP-08</v>
      </c>
      <c r="U166" s="231"/>
      <c r="V166" s="262">
        <f>IF(C166="",NA(),IF(OR(C166="Smelter not listed",C166="Smelter not yet identified"),MATCH($B166&amp;$D166,'Smelter Look-up'!$J:$J,0),MATCH($B166&amp;$C166,'Smelter Look-up'!$J:$J,0)))</f>
        <v>338</v>
      </c>
      <c r="W166" s="263"/>
      <c r="X166" s="263">
        <f t="shared" ref="X166:X196" si="25">IF(AND(C166="Smelter not listed",OR(LEN(D166)=0,LEN(E166)=0)),1,0)</f>
        <v>0</v>
      </c>
      <c r="Y166" s="263"/>
      <c r="Z166" s="263"/>
      <c r="AB166" s="265" t="str">
        <f t="shared" ref="AB166:AB196" si="26">B166&amp;C166</f>
        <v>TantalumH.C. Starck Ltd.</v>
      </c>
    </row>
    <row r="167" spans="1:28" s="264" customFormat="1" ht="76.5">
      <c r="A167" s="207" t="s">
        <v>1424</v>
      </c>
      <c r="B167" s="208" t="s">
        <v>1132</v>
      </c>
      <c r="C167" s="356" t="s">
        <v>2357</v>
      </c>
      <c r="D167" s="270"/>
      <c r="E167" s="208" t="s">
        <v>1101</v>
      </c>
      <c r="F167" s="208" t="s">
        <v>1424</v>
      </c>
      <c r="G167" s="208" t="s">
        <v>13320</v>
      </c>
      <c r="H167" s="357">
        <v>0</v>
      </c>
      <c r="I167" s="358" t="s">
        <v>1761</v>
      </c>
      <c r="J167" s="358" t="s">
        <v>1550</v>
      </c>
      <c r="K167" s="359"/>
      <c r="L167" s="359"/>
      <c r="M167" s="359"/>
      <c r="N167" s="359" t="s">
        <v>15774</v>
      </c>
      <c r="O167" s="359" t="s">
        <v>15774</v>
      </c>
      <c r="P167" s="360" t="s">
        <v>489</v>
      </c>
      <c r="Q167" s="361" t="s">
        <v>15768</v>
      </c>
      <c r="R167" s="208" t="str">
        <f ca="1">IF(ISERROR($V167),"",OFFSET('Smelter Look-up'!$C$4,$V167-4,0)&amp;"")</f>
        <v>TANIOBIS Smelting GmbH &amp; Co. KG</v>
      </c>
      <c r="S167" s="215" t="str">
        <f t="shared" ca="1" si="24"/>
        <v>DE</v>
      </c>
      <c r="T167" s="215" t="str">
        <f ca="1">IF(B167="","",IF(ISERROR(MATCH($J167,SorP!$B$1:$B$6230,0)),"",INDIRECT("'SorP'!$A$"&amp;MATCH($J167,SorP!$B$1:$B$6230,0))))</f>
        <v>DE-BW</v>
      </c>
      <c r="U167" s="231"/>
      <c r="V167" s="262">
        <f>IF(C167="",NA(),IF(OR(C167="Smelter not listed",C167="Smelter not yet identified"),MATCH($B167&amp;$D167,'Smelter Look-up'!$J:$J,0),MATCH($B167&amp;$C167,'Smelter Look-up'!$J:$J,0)))</f>
        <v>339</v>
      </c>
      <c r="W167" s="263"/>
      <c r="X167" s="263">
        <f t="shared" si="25"/>
        <v>0</v>
      </c>
      <c r="Y167" s="263"/>
      <c r="Z167" s="263"/>
      <c r="AB167" s="265" t="str">
        <f t="shared" si="26"/>
        <v>TantalumH.C. Starck Smelting GmbH &amp; Co. KG</v>
      </c>
    </row>
    <row r="168" spans="1:28" s="264" customFormat="1" ht="89.25">
      <c r="A168" s="207" t="s">
        <v>1417</v>
      </c>
      <c r="B168" s="208" t="s">
        <v>1132</v>
      </c>
      <c r="C168" s="356" t="s">
        <v>2548</v>
      </c>
      <c r="D168" s="270"/>
      <c r="E168" s="208" t="s">
        <v>1101</v>
      </c>
      <c r="F168" s="208" t="s">
        <v>1417</v>
      </c>
      <c r="G168" s="208" t="s">
        <v>13320</v>
      </c>
      <c r="H168" s="357">
        <v>0</v>
      </c>
      <c r="I168" s="358" t="s">
        <v>1760</v>
      </c>
      <c r="J168" s="358" t="s">
        <v>4270</v>
      </c>
      <c r="K168" s="359"/>
      <c r="L168" s="359"/>
      <c r="M168" s="359"/>
      <c r="N168" s="359" t="s">
        <v>15774</v>
      </c>
      <c r="O168" s="359" t="s">
        <v>15774</v>
      </c>
      <c r="P168" s="360" t="s">
        <v>489</v>
      </c>
      <c r="Q168" s="361" t="s">
        <v>15768</v>
      </c>
      <c r="R168" s="208" t="str">
        <f ca="1">IF(ISERROR($V168),"",OFFSET('Smelter Look-up'!$C$4,$V168-4,0)&amp;"")</f>
        <v>TANIOBIS GmbH</v>
      </c>
      <c r="S168" s="215" t="str">
        <f t="shared" ca="1" si="24"/>
        <v>DE</v>
      </c>
      <c r="T168" s="215" t="str">
        <f ca="1">IF(B168="","",IF(ISERROR(MATCH($J168,SorP!$B$1:$B$6230,0)),"",INDIRECT("'SorP'!$A$"&amp;MATCH($J168,SorP!$B$1:$B$6230,0))))</f>
        <v>DE-NI</v>
      </c>
      <c r="U168" s="231"/>
      <c r="V168" s="262">
        <f>IF(C168="",NA(),IF(OR(C168="Smelter not listed",C168="Smelter not yet identified"),MATCH($B168&amp;$D168,'Smelter Look-up'!$J:$J,0),MATCH($B168&amp;$C168,'Smelter Look-up'!$J:$J,0)))</f>
        <v>340</v>
      </c>
      <c r="W168" s="263"/>
      <c r="X168" s="263">
        <f t="shared" si="25"/>
        <v>0</v>
      </c>
      <c r="Y168" s="263"/>
      <c r="Z168" s="263"/>
      <c r="AB168" s="265" t="str">
        <f t="shared" si="26"/>
        <v>TantalumH.C. Starck Tantalum and Niobium GmbH</v>
      </c>
    </row>
    <row r="169" spans="1:28" s="264" customFormat="1" ht="114.75">
      <c r="A169" s="207" t="s">
        <v>396</v>
      </c>
      <c r="B169" s="208" t="s">
        <v>1132</v>
      </c>
      <c r="C169" s="356" t="s">
        <v>3</v>
      </c>
      <c r="D169" s="270"/>
      <c r="E169" s="208" t="s">
        <v>1100</v>
      </c>
      <c r="F169" s="208" t="s">
        <v>396</v>
      </c>
      <c r="G169" s="208" t="s">
        <v>13320</v>
      </c>
      <c r="H169" s="357">
        <v>0</v>
      </c>
      <c r="I169" s="358" t="s">
        <v>1751</v>
      </c>
      <c r="J169" s="358" t="s">
        <v>13703</v>
      </c>
      <c r="K169" s="359"/>
      <c r="L169" s="359"/>
      <c r="M169" s="359"/>
      <c r="N169" s="359" t="s">
        <v>15775</v>
      </c>
      <c r="O169" s="359" t="s">
        <v>15775</v>
      </c>
      <c r="P169" s="360" t="s">
        <v>489</v>
      </c>
      <c r="Q169" s="361" t="s">
        <v>15768</v>
      </c>
      <c r="R169" s="208" t="str">
        <f ca="1">IF(ISERROR($V169),"",OFFSET('Smelter Look-up'!$C$4,$V169-4,0)&amp;"")</f>
        <v>Hengyang King Xing Lifeng New Materials Co., Ltd.</v>
      </c>
      <c r="S169" s="215" t="str">
        <f t="shared" ca="1" si="24"/>
        <v>CN</v>
      </c>
      <c r="T169" s="215" t="str">
        <f ca="1">IF(B169="","",IF(ISERROR(MATCH($J169,SorP!$B$1:$B$6230,0)),"",INDIRECT("'SorP'!$A$"&amp;MATCH($J169,SorP!$B$1:$B$6230,0))))</f>
        <v>CN-HN</v>
      </c>
      <c r="U169" s="231"/>
      <c r="V169" s="262">
        <f>IF(C169="",NA(),IF(OR(C169="Smelter not listed",C169="Smelter not yet identified"),MATCH($B169&amp;$D169,'Smelter Look-up'!$J:$J,0),MATCH($B169&amp;$C169,'Smelter Look-up'!$J:$J,0)))</f>
        <v>341</v>
      </c>
      <c r="W169" s="263"/>
      <c r="X169" s="263">
        <f t="shared" si="25"/>
        <v>0</v>
      </c>
      <c r="Y169" s="263"/>
      <c r="Z169" s="263"/>
      <c r="AB169" s="265" t="str">
        <f t="shared" si="26"/>
        <v>TantalumHengyang King Xing Lifeng New Materials Co., Ltd.</v>
      </c>
    </row>
    <row r="170" spans="1:28" s="264" customFormat="1" ht="102">
      <c r="A170" s="207" t="s">
        <v>1398</v>
      </c>
      <c r="B170" s="208" t="s">
        <v>1132</v>
      </c>
      <c r="C170" s="356" t="s">
        <v>2187</v>
      </c>
      <c r="D170" s="270"/>
      <c r="E170" s="208" t="s">
        <v>1100</v>
      </c>
      <c r="F170" s="208" t="s">
        <v>1398</v>
      </c>
      <c r="G170" s="208" t="s">
        <v>13320</v>
      </c>
      <c r="H170" s="357">
        <v>0</v>
      </c>
      <c r="I170" s="358" t="s">
        <v>1755</v>
      </c>
      <c r="J170" s="358" t="s">
        <v>13699</v>
      </c>
      <c r="K170" s="359"/>
      <c r="L170" s="359"/>
      <c r="M170" s="359"/>
      <c r="N170" s="359"/>
      <c r="O170" s="359"/>
      <c r="P170" s="360" t="s">
        <v>489</v>
      </c>
      <c r="Q170" s="361" t="s">
        <v>15768</v>
      </c>
      <c r="R170" s="208" t="str">
        <f ca="1">IF(ISERROR($V170),"",OFFSET('Smelter Look-up'!$C$4,$V170-4,0)&amp;"")</f>
        <v>Jiangxi Dinghai Tantalum &amp; Niobium Co., Ltd.</v>
      </c>
      <c r="S170" s="215" t="str">
        <f t="shared" ca="1" si="24"/>
        <v>CN</v>
      </c>
      <c r="T170" s="215" t="str">
        <f ca="1">IF(B170="","",IF(ISERROR(MATCH($J170,SorP!$B$1:$B$6230,0)),"",INDIRECT("'SorP'!$A$"&amp;MATCH($J170,SorP!$B$1:$B$6230,0))))</f>
        <v>CN-JX</v>
      </c>
      <c r="U170" s="231"/>
      <c r="V170" s="262">
        <f>IF(C170="",NA(),IF(OR(C170="Smelter not listed",C170="Smelter not yet identified"),MATCH($B170&amp;$D170,'Smelter Look-up'!$J:$J,0),MATCH($B170&amp;$C170,'Smelter Look-up'!$J:$J,0)))</f>
        <v>342</v>
      </c>
      <c r="W170" s="263"/>
      <c r="X170" s="263">
        <f t="shared" si="25"/>
        <v>0</v>
      </c>
      <c r="Y170" s="263"/>
      <c r="Z170" s="263"/>
      <c r="AB170" s="265" t="str">
        <f t="shared" si="26"/>
        <v>TantalumJiangxi Dinghai Tantalum &amp; Niobium Co., Ltd.</v>
      </c>
    </row>
    <row r="171" spans="1:28" s="264" customFormat="1" ht="76.5">
      <c r="A171" s="207" t="s">
        <v>2287</v>
      </c>
      <c r="B171" s="208" t="s">
        <v>1132</v>
      </c>
      <c r="C171" s="356" t="s">
        <v>2286</v>
      </c>
      <c r="D171" s="270"/>
      <c r="E171" s="208" t="s">
        <v>1100</v>
      </c>
      <c r="F171" s="208" t="s">
        <v>2287</v>
      </c>
      <c r="G171" s="208" t="s">
        <v>13320</v>
      </c>
      <c r="H171" s="357">
        <v>0</v>
      </c>
      <c r="I171" s="358" t="s">
        <v>1750</v>
      </c>
      <c r="J171" s="358" t="s">
        <v>13699</v>
      </c>
      <c r="K171" s="359"/>
      <c r="L171" s="359"/>
      <c r="M171" s="359"/>
      <c r="N171" s="359" t="s">
        <v>15776</v>
      </c>
      <c r="O171" s="359" t="s">
        <v>15776</v>
      </c>
      <c r="P171" s="360" t="s">
        <v>489</v>
      </c>
      <c r="Q171" s="361" t="s">
        <v>15768</v>
      </c>
      <c r="R171" s="208" t="str">
        <f ca="1">IF(ISERROR($V171),"",OFFSET('Smelter Look-up'!$C$4,$V171-4,0)&amp;"")</f>
        <v>Jiangxi Tuohong New Raw Material</v>
      </c>
      <c r="S171" s="215" t="str">
        <f t="shared" ca="1" si="24"/>
        <v>CN</v>
      </c>
      <c r="T171" s="215" t="str">
        <f ca="1">IF(B171="","",IF(ISERROR(MATCH($J171,SorP!$B$1:$B$6230,0)),"",INDIRECT("'SorP'!$A$"&amp;MATCH($J171,SorP!$B$1:$B$6230,0))))</f>
        <v>CN-JX</v>
      </c>
      <c r="U171" s="231"/>
      <c r="V171" s="262">
        <f>IF(C171="",NA(),IF(OR(C171="Smelter not listed",C171="Smelter not yet identified"),MATCH($B171&amp;$D171,'Smelter Look-up'!$J:$J,0),MATCH($B171&amp;$C171,'Smelter Look-up'!$J:$J,0)))</f>
        <v>343</v>
      </c>
      <c r="W171" s="263"/>
      <c r="X171" s="263">
        <f t="shared" si="25"/>
        <v>0</v>
      </c>
      <c r="Y171" s="263"/>
      <c r="Z171" s="263"/>
      <c r="AB171" s="265" t="str">
        <f t="shared" si="26"/>
        <v>TantalumJiangxi Tuohong New Raw Material</v>
      </c>
    </row>
    <row r="172" spans="1:28" s="264" customFormat="1" ht="102">
      <c r="A172" s="207" t="s">
        <v>752</v>
      </c>
      <c r="B172" s="208" t="s">
        <v>1132</v>
      </c>
      <c r="C172" s="356" t="s">
        <v>4</v>
      </c>
      <c r="D172" s="270"/>
      <c r="E172" s="208" t="s">
        <v>1100</v>
      </c>
      <c r="F172" s="208" t="s">
        <v>752</v>
      </c>
      <c r="G172" s="208" t="s">
        <v>13320</v>
      </c>
      <c r="H172" s="357">
        <v>0</v>
      </c>
      <c r="I172" s="358" t="s">
        <v>1730</v>
      </c>
      <c r="J172" s="358" t="s">
        <v>13699</v>
      </c>
      <c r="K172" s="359"/>
      <c r="L172" s="359"/>
      <c r="M172" s="359"/>
      <c r="N172" s="359"/>
      <c r="O172" s="359"/>
      <c r="P172" s="360" t="s">
        <v>489</v>
      </c>
      <c r="Q172" s="361" t="s">
        <v>15768</v>
      </c>
      <c r="R172" s="208" t="str">
        <f ca="1">IF(ISERROR($V172),"",OFFSET('Smelter Look-up'!$C$4,$V172-4,0)&amp;"")</f>
        <v>JiuJiang JinXin Nonferrous Metals Co., Ltd.</v>
      </c>
      <c r="S172" s="215" t="str">
        <f t="shared" ca="1" si="24"/>
        <v>CN</v>
      </c>
      <c r="T172" s="215" t="str">
        <f ca="1">IF(B172="","",IF(ISERROR(MATCH($J172,SorP!$B$1:$B$6230,0)),"",INDIRECT("'SorP'!$A$"&amp;MATCH($J172,SorP!$B$1:$B$6230,0))))</f>
        <v>CN-JX</v>
      </c>
      <c r="U172" s="231"/>
      <c r="V172" s="262">
        <f>IF(C172="",NA(),IF(OR(C172="Smelter not listed",C172="Smelter not yet identified"),MATCH($B172&amp;$D172,'Smelter Look-up'!$J:$J,0),MATCH($B172&amp;$C172,'Smelter Look-up'!$J:$J,0)))</f>
        <v>344</v>
      </c>
      <c r="W172" s="263"/>
      <c r="X172" s="263">
        <f t="shared" si="25"/>
        <v>0</v>
      </c>
      <c r="Y172" s="263"/>
      <c r="Z172" s="263"/>
      <c r="AB172" s="265" t="str">
        <f t="shared" si="26"/>
        <v>TantalumJiuJiang JinXin Nonferrous Metals Co., Ltd.</v>
      </c>
    </row>
    <row r="173" spans="1:28" s="264" customFormat="1" ht="76.5">
      <c r="A173" s="207" t="s">
        <v>753</v>
      </c>
      <c r="B173" s="208" t="s">
        <v>1132</v>
      </c>
      <c r="C173" s="356" t="s">
        <v>46</v>
      </c>
      <c r="D173" s="270"/>
      <c r="E173" s="208" t="s">
        <v>1100</v>
      </c>
      <c r="F173" s="208" t="s">
        <v>753</v>
      </c>
      <c r="G173" s="208" t="s">
        <v>13320</v>
      </c>
      <c r="H173" s="357">
        <v>0</v>
      </c>
      <c r="I173" s="358" t="s">
        <v>1730</v>
      </c>
      <c r="J173" s="358" t="s">
        <v>13699</v>
      </c>
      <c r="K173" s="359"/>
      <c r="L173" s="359"/>
      <c r="M173" s="359"/>
      <c r="N173" s="359" t="s">
        <v>15769</v>
      </c>
      <c r="O173" s="359" t="s">
        <v>15769</v>
      </c>
      <c r="P173" s="360" t="s">
        <v>489</v>
      </c>
      <c r="Q173" s="361" t="s">
        <v>15768</v>
      </c>
      <c r="R173" s="208" t="str">
        <f ca="1">IF(ISERROR($V173),"",OFFSET('Smelter Look-up'!$C$4,$V173-4,0)&amp;"")</f>
        <v>Jiujiang Tanbre Co., Ltd.</v>
      </c>
      <c r="S173" s="215" t="str">
        <f t="shared" ca="1" si="24"/>
        <v>CN</v>
      </c>
      <c r="T173" s="215" t="str">
        <f ca="1">IF(B173="","",IF(ISERROR(MATCH($J173,SorP!$B$1:$B$6230,0)),"",INDIRECT("'SorP'!$A$"&amp;MATCH($J173,SorP!$B$1:$B$6230,0))))</f>
        <v>CN-JX</v>
      </c>
      <c r="U173" s="231"/>
      <c r="V173" s="262">
        <f>IF(C173="",NA(),IF(OR(C173="Smelter not listed",C173="Smelter not yet identified"),MATCH($B173&amp;$D173,'Smelter Look-up'!$J:$J,0),MATCH($B173&amp;$C173,'Smelter Look-up'!$J:$J,0)))</f>
        <v>346</v>
      </c>
      <c r="W173" s="263"/>
      <c r="X173" s="263">
        <f t="shared" si="25"/>
        <v>0</v>
      </c>
      <c r="Y173" s="263"/>
      <c r="Z173" s="263"/>
      <c r="AB173" s="265" t="str">
        <f t="shared" si="26"/>
        <v>TantalumJiujiang Tanbre Co., Ltd.</v>
      </c>
    </row>
    <row r="174" spans="1:28" s="264" customFormat="1" ht="127.5">
      <c r="A174" s="207" t="s">
        <v>1399</v>
      </c>
      <c r="B174" s="208" t="s">
        <v>1132</v>
      </c>
      <c r="C174" s="356" t="s">
        <v>2184</v>
      </c>
      <c r="D174" s="270"/>
      <c r="E174" s="208" t="s">
        <v>1100</v>
      </c>
      <c r="F174" s="208" t="s">
        <v>1399</v>
      </c>
      <c r="G174" s="208" t="s">
        <v>13320</v>
      </c>
      <c r="H174" s="357">
        <v>0</v>
      </c>
      <c r="I174" s="358" t="s">
        <v>1730</v>
      </c>
      <c r="J174" s="358" t="s">
        <v>13699</v>
      </c>
      <c r="K174" s="359"/>
      <c r="L174" s="359"/>
      <c r="M174" s="359"/>
      <c r="N174" s="359"/>
      <c r="O174" s="359"/>
      <c r="P174" s="360" t="s">
        <v>489</v>
      </c>
      <c r="Q174" s="361" t="s">
        <v>15768</v>
      </c>
      <c r="R174" s="208" t="str">
        <f ca="1">IF(ISERROR($V174),"",OFFSET('Smelter Look-up'!$C$4,$V174-4,0)&amp;"")</f>
        <v>Jiujiang Zhongao Tantalum &amp; Niobium Co., Ltd.</v>
      </c>
      <c r="S174" s="215" t="str">
        <f t="shared" ca="1" si="24"/>
        <v>CN</v>
      </c>
      <c r="T174" s="215" t="str">
        <f ca="1">IF(B174="","",IF(ISERROR(MATCH($J174,SorP!$B$1:$B$6230,0)),"",INDIRECT("'SorP'!$A$"&amp;MATCH($J174,SorP!$B$1:$B$6230,0))))</f>
        <v>CN-JX</v>
      </c>
      <c r="U174" s="231"/>
      <c r="V174" s="262">
        <f>IF(C174="",NA(),IF(OR(C174="Smelter not listed",C174="Smelter not yet identified"),MATCH($B174&amp;$D174,'Smelter Look-up'!$J:$J,0),MATCH($B174&amp;$C174,'Smelter Look-up'!$J:$J,0)))</f>
        <v>347</v>
      </c>
      <c r="W174" s="263"/>
      <c r="X174" s="263">
        <f t="shared" si="25"/>
        <v>0</v>
      </c>
      <c r="Y174" s="263"/>
      <c r="Z174" s="263"/>
      <c r="AB174" s="265" t="str">
        <f t="shared" si="26"/>
        <v>TantalumJiujiang Zhongao Tantalum &amp; Niobium Co., Ltd.</v>
      </c>
    </row>
    <row r="175" spans="1:28" s="264" customFormat="1" ht="51">
      <c r="A175" s="207" t="s">
        <v>1426</v>
      </c>
      <c r="B175" s="208" t="s">
        <v>1132</v>
      </c>
      <c r="C175" s="356" t="s">
        <v>1425</v>
      </c>
      <c r="D175" s="270"/>
      <c r="E175" s="208" t="s">
        <v>1113</v>
      </c>
      <c r="F175" s="208" t="s">
        <v>1426</v>
      </c>
      <c r="G175" s="208" t="s">
        <v>13320</v>
      </c>
      <c r="H175" s="357">
        <v>0</v>
      </c>
      <c r="I175" s="358" t="s">
        <v>1756</v>
      </c>
      <c r="J175" s="358" t="s">
        <v>1757</v>
      </c>
      <c r="K175" s="359"/>
      <c r="L175" s="359"/>
      <c r="M175" s="359"/>
      <c r="N175" s="359" t="s">
        <v>15773</v>
      </c>
      <c r="O175" s="359" t="s">
        <v>15773</v>
      </c>
      <c r="P175" s="360" t="s">
        <v>489</v>
      </c>
      <c r="Q175" s="361" t="s">
        <v>15768</v>
      </c>
      <c r="R175" s="208" t="str">
        <f ca="1">IF(ISERROR($V175),"",OFFSET('Smelter Look-up'!$C$4,$V175-4,0)&amp;"")</f>
        <v>KEMET de Mexico</v>
      </c>
      <c r="S175" s="215" t="str">
        <f t="shared" ca="1" si="24"/>
        <v>MX</v>
      </c>
      <c r="T175" s="215" t="str">
        <f ca="1">IF(B175="","",IF(ISERROR(MATCH($J175,SorP!$B$1:$B$6230,0)),"",INDIRECT("'SorP'!$A$"&amp;MATCH($J175,SorP!$B$1:$B$6230,0))))</f>
        <v>MX-TAM</v>
      </c>
      <c r="U175" s="231"/>
      <c r="V175" s="262">
        <f>IF(C175="",NA(),IF(OR(C175="Smelter not listed",C175="Smelter not yet identified"),MATCH($B175&amp;$D175,'Smelter Look-up'!$J:$J,0),MATCH($B175&amp;$C175,'Smelter Look-up'!$J:$J,0)))</f>
        <v>348</v>
      </c>
      <c r="W175" s="263"/>
      <c r="X175" s="263">
        <f t="shared" si="25"/>
        <v>0</v>
      </c>
      <c r="Y175" s="263"/>
      <c r="Z175" s="263"/>
      <c r="AB175" s="265" t="str">
        <f t="shared" si="26"/>
        <v>TantalumKEMET Blue Metals</v>
      </c>
    </row>
    <row r="176" spans="1:28" s="264" customFormat="1" ht="51">
      <c r="A176" s="207" t="s">
        <v>754</v>
      </c>
      <c r="B176" s="208" t="s">
        <v>1132</v>
      </c>
      <c r="C176" s="356" t="s">
        <v>47</v>
      </c>
      <c r="D176" s="270"/>
      <c r="E176" s="208" t="s">
        <v>1096</v>
      </c>
      <c r="F176" s="208" t="s">
        <v>754</v>
      </c>
      <c r="G176" s="208" t="s">
        <v>13320</v>
      </c>
      <c r="H176" s="357">
        <v>0</v>
      </c>
      <c r="I176" s="358" t="s">
        <v>1731</v>
      </c>
      <c r="J176" s="358" t="s">
        <v>1554</v>
      </c>
      <c r="K176" s="359"/>
      <c r="L176" s="359"/>
      <c r="M176" s="359"/>
      <c r="N176" s="359"/>
      <c r="O176" s="359"/>
      <c r="P176" s="360" t="s">
        <v>489</v>
      </c>
      <c r="Q176" s="361" t="s">
        <v>15768</v>
      </c>
      <c r="R176" s="208" t="str">
        <f ca="1">IF(ISERROR($V176),"",OFFSET('Smelter Look-up'!$C$4,$V176-4,0)&amp;"")</f>
        <v>AMG Brasil</v>
      </c>
      <c r="S176" s="215" t="str">
        <f t="shared" ca="1" si="24"/>
        <v>BR</v>
      </c>
      <c r="T176" s="215" t="str">
        <f ca="1">IF(B176="","",IF(ISERROR(MATCH($J176,SorP!$B$1:$B$6230,0)),"",INDIRECT("'SorP'!$A$"&amp;MATCH($J176,SorP!$B$1:$B$6230,0))))</f>
        <v>BR-MG</v>
      </c>
      <c r="U176" s="231"/>
      <c r="V176" s="262">
        <f>IF(C176="",NA(),IF(OR(C176="Smelter not listed",C176="Smelter not yet identified"),MATCH($B176&amp;$D176,'Smelter Look-up'!$J:$J,0),MATCH($B176&amp;$C176,'Smelter Look-up'!$J:$J,0)))</f>
        <v>350</v>
      </c>
      <c r="W176" s="263"/>
      <c r="X176" s="263">
        <f t="shared" si="25"/>
        <v>0</v>
      </c>
      <c r="Y176" s="263"/>
      <c r="Z176" s="263"/>
      <c r="AB176" s="265" t="str">
        <f t="shared" si="26"/>
        <v>TantalumLSM Brasil S.A.</v>
      </c>
    </row>
    <row r="177" spans="1:28" s="264" customFormat="1" ht="89.25">
      <c r="A177" s="207" t="s">
        <v>755</v>
      </c>
      <c r="B177" s="208" t="s">
        <v>1132</v>
      </c>
      <c r="C177" s="356" t="s">
        <v>2166</v>
      </c>
      <c r="D177" s="270"/>
      <c r="E177" s="208" t="s">
        <v>1106</v>
      </c>
      <c r="F177" s="208" t="s">
        <v>755</v>
      </c>
      <c r="G177" s="208" t="s">
        <v>13320</v>
      </c>
      <c r="H177" s="357">
        <v>0</v>
      </c>
      <c r="I177" s="358" t="s">
        <v>1732</v>
      </c>
      <c r="J177" s="358" t="s">
        <v>1733</v>
      </c>
      <c r="K177" s="359"/>
      <c r="L177" s="359"/>
      <c r="M177" s="359"/>
      <c r="N177" s="359" t="s">
        <v>15769</v>
      </c>
      <c r="O177" s="359" t="s">
        <v>15769</v>
      </c>
      <c r="P177" s="360" t="s">
        <v>489</v>
      </c>
      <c r="Q177" s="361" t="s">
        <v>15768</v>
      </c>
      <c r="R177" s="208" t="str">
        <f ca="1">IF(ISERROR($V177),"",OFFSET('Smelter Look-up'!$C$4,$V177-4,0)&amp;"")</f>
        <v>Metallurgical Products India Pvt., Ltd.</v>
      </c>
      <c r="S177" s="215" t="str">
        <f t="shared" ca="1" si="24"/>
        <v>IN</v>
      </c>
      <c r="T177" s="215" t="str">
        <f ca="1">IF(B177="","",IF(ISERROR(MATCH($J177,SorP!$B$1:$B$6230,0)),"",INDIRECT("'SorP'!$A$"&amp;MATCH($J177,SorP!$B$1:$B$6230,0))))</f>
        <v>IN-MH</v>
      </c>
      <c r="U177" s="231"/>
      <c r="V177" s="262">
        <f>IF(C177="",NA(),IF(OR(C177="Smelter not listed",C177="Smelter not yet identified"),MATCH($B177&amp;$D177,'Smelter Look-up'!$J:$J,0),MATCH($B177&amp;$C177,'Smelter Look-up'!$J:$J,0)))</f>
        <v>352</v>
      </c>
      <c r="W177" s="263"/>
      <c r="X177" s="263">
        <f t="shared" si="25"/>
        <v>0</v>
      </c>
      <c r="Y177" s="263"/>
      <c r="Z177" s="263"/>
      <c r="AB177" s="265" t="str">
        <f t="shared" si="26"/>
        <v>TantalumMetallurgical Products India Pvt., Ltd.</v>
      </c>
    </row>
    <row r="178" spans="1:28" s="264" customFormat="1" ht="63.75">
      <c r="A178" s="207" t="s">
        <v>756</v>
      </c>
      <c r="B178" s="208" t="s">
        <v>1132</v>
      </c>
      <c r="C178" s="356" t="s">
        <v>12509</v>
      </c>
      <c r="D178" s="270"/>
      <c r="E178" s="208" t="s">
        <v>1096</v>
      </c>
      <c r="F178" s="208" t="s">
        <v>756</v>
      </c>
      <c r="G178" s="208" t="s">
        <v>13320</v>
      </c>
      <c r="H178" s="357">
        <v>0</v>
      </c>
      <c r="I178" s="358" t="s">
        <v>1735</v>
      </c>
      <c r="J178" s="358" t="s">
        <v>1736</v>
      </c>
      <c r="K178" s="359"/>
      <c r="L178" s="359"/>
      <c r="M178" s="359"/>
      <c r="N178" s="359"/>
      <c r="O178" s="359"/>
      <c r="P178" s="360" t="s">
        <v>489</v>
      </c>
      <c r="Q178" s="361" t="s">
        <v>15768</v>
      </c>
      <c r="R178" s="208" t="str">
        <f ca="1">IF(ISERROR($V178),"",OFFSET('Smelter Look-up'!$C$4,$V178-4,0)&amp;"")</f>
        <v>Mineracao Taboca S.A.</v>
      </c>
      <c r="S178" s="215" t="str">
        <f t="shared" ca="1" si="24"/>
        <v>BR</v>
      </c>
      <c r="T178" s="215" t="str">
        <f ca="1">IF(B178="","",IF(ISERROR(MATCH($J178,SorP!$B$1:$B$6230,0)),"",INDIRECT("'SorP'!$A$"&amp;MATCH($J178,SorP!$B$1:$B$6230,0))))</f>
        <v>BR-AM</v>
      </c>
      <c r="U178" s="231"/>
      <c r="V178" s="262">
        <f>IF(C178="",NA(),IF(OR(C178="Smelter not listed",C178="Smelter not yet identified"),MATCH($B178&amp;$D178,'Smelter Look-up'!$J:$J,0),MATCH($B178&amp;$C178,'Smelter Look-up'!$J:$J,0)))</f>
        <v>353</v>
      </c>
      <c r="W178" s="263"/>
      <c r="X178" s="263">
        <f t="shared" si="25"/>
        <v>0</v>
      </c>
      <c r="Y178" s="263"/>
      <c r="Z178" s="263"/>
      <c r="AB178" s="265" t="str">
        <f t="shared" si="26"/>
        <v>TantalumMineracao Taboca S.A.</v>
      </c>
    </row>
    <row r="179" spans="1:28" s="264" customFormat="1" ht="89.25">
      <c r="A179" s="207" t="s">
        <v>757</v>
      </c>
      <c r="B179" s="208" t="s">
        <v>1132</v>
      </c>
      <c r="C179" s="356" t="s">
        <v>1230</v>
      </c>
      <c r="D179" s="270"/>
      <c r="E179" s="208" t="s">
        <v>1108</v>
      </c>
      <c r="F179" s="208" t="s">
        <v>757</v>
      </c>
      <c r="G179" s="208" t="s">
        <v>13320</v>
      </c>
      <c r="H179" s="357">
        <v>0</v>
      </c>
      <c r="I179" s="358" t="s">
        <v>1737</v>
      </c>
      <c r="J179" s="358" t="s">
        <v>1738</v>
      </c>
      <c r="K179" s="359"/>
      <c r="L179" s="359"/>
      <c r="M179" s="359"/>
      <c r="N179" s="359" t="s">
        <v>15769</v>
      </c>
      <c r="O179" s="359" t="s">
        <v>15769</v>
      </c>
      <c r="P179" s="360" t="s">
        <v>489</v>
      </c>
      <c r="Q179" s="361" t="s">
        <v>15768</v>
      </c>
      <c r="R179" s="208" t="str">
        <f ca="1">IF(ISERROR($V179),"",OFFSET('Smelter Look-up'!$C$4,$V179-4,0)&amp;"")</f>
        <v>Mitsui Mining and Smelting Co., Ltd.</v>
      </c>
      <c r="S179" s="215" t="str">
        <f t="shared" ca="1" si="24"/>
        <v>JP</v>
      </c>
      <c r="T179" s="215" t="str">
        <f ca="1">IF(B179="","",IF(ISERROR(MATCH($J179,SorP!$B$1:$B$6230,0)),"",INDIRECT("'SorP'!$A$"&amp;MATCH($J179,SorP!$B$1:$B$6230,0))))</f>
        <v>JP-40</v>
      </c>
      <c r="U179" s="231"/>
      <c r="V179" s="262">
        <f>IF(C179="",NA(),IF(OR(C179="Smelter not listed",C179="Smelter not yet identified"),MATCH($B179&amp;$D179,'Smelter Look-up'!$J:$J,0),MATCH($B179&amp;$C179,'Smelter Look-up'!$J:$J,0)))</f>
        <v>357</v>
      </c>
      <c r="W179" s="263"/>
      <c r="X179" s="263">
        <f t="shared" si="25"/>
        <v>0</v>
      </c>
      <c r="Y179" s="263"/>
      <c r="Z179" s="263"/>
      <c r="AB179" s="265" t="str">
        <f t="shared" si="26"/>
        <v>TantalumMitsui Mining and Smelting Co., Ltd.</v>
      </c>
    </row>
    <row r="180" spans="1:28" s="264" customFormat="1" ht="102">
      <c r="A180" s="207" t="s">
        <v>759</v>
      </c>
      <c r="B180" s="208" t="s">
        <v>1132</v>
      </c>
      <c r="C180" s="356" t="s">
        <v>1030</v>
      </c>
      <c r="D180" s="270"/>
      <c r="E180" s="208" t="s">
        <v>1100</v>
      </c>
      <c r="F180" s="208" t="s">
        <v>759</v>
      </c>
      <c r="G180" s="208" t="s">
        <v>13320</v>
      </c>
      <c r="H180" s="357">
        <v>0</v>
      </c>
      <c r="I180" s="358" t="s">
        <v>1741</v>
      </c>
      <c r="J180" s="358" t="s">
        <v>13685</v>
      </c>
      <c r="K180" s="359"/>
      <c r="L180" s="359"/>
      <c r="M180" s="359"/>
      <c r="N180" s="359" t="s">
        <v>15774</v>
      </c>
      <c r="O180" s="359" t="s">
        <v>15774</v>
      </c>
      <c r="P180" s="360" t="s">
        <v>489</v>
      </c>
      <c r="Q180" s="361" t="s">
        <v>15768</v>
      </c>
      <c r="R180" s="208" t="str">
        <f ca="1">IF(ISERROR($V180),"",OFFSET('Smelter Look-up'!$C$4,$V180-4,0)&amp;"")</f>
        <v>Ningxia Orient Tantalum Industry Co., Ltd.</v>
      </c>
      <c r="S180" s="215" t="str">
        <f t="shared" ca="1" si="24"/>
        <v>CN</v>
      </c>
      <c r="T180" s="215" t="str">
        <f ca="1">IF(B180="","",IF(ISERROR(MATCH($J180,SorP!$B$1:$B$6230,0)),"",INDIRECT("'SorP'!$A$"&amp;MATCH($J180,SorP!$B$1:$B$6230,0))))</f>
        <v>CN-NX</v>
      </c>
      <c r="U180" s="231"/>
      <c r="V180" s="262">
        <f>IF(C180="",NA(),IF(OR(C180="Smelter not listed",C180="Smelter not yet identified"),MATCH($B180&amp;$D180,'Smelter Look-up'!$J:$J,0),MATCH($B180&amp;$C180,'Smelter Look-up'!$J:$J,0)))</f>
        <v>360</v>
      </c>
      <c r="W180" s="263"/>
      <c r="X180" s="263">
        <f t="shared" si="25"/>
        <v>0</v>
      </c>
      <c r="Y180" s="263"/>
      <c r="Z180" s="263"/>
      <c r="AB180" s="265" t="str">
        <f t="shared" si="26"/>
        <v>TantalumNingxia Orient Tantalum Industry Co., Ltd.</v>
      </c>
    </row>
    <row r="181" spans="1:28" s="264" customFormat="1" ht="51">
      <c r="A181" s="207" t="s">
        <v>758</v>
      </c>
      <c r="B181" s="208" t="s">
        <v>1132</v>
      </c>
      <c r="C181" s="356" t="s">
        <v>2550</v>
      </c>
      <c r="D181" s="270"/>
      <c r="E181" s="208" t="s">
        <v>1103</v>
      </c>
      <c r="F181" s="208" t="s">
        <v>758</v>
      </c>
      <c r="G181" s="208" t="s">
        <v>13320</v>
      </c>
      <c r="H181" s="357">
        <v>0</v>
      </c>
      <c r="I181" s="358" t="s">
        <v>1739</v>
      </c>
      <c r="J181" s="358" t="s">
        <v>1740</v>
      </c>
      <c r="K181" s="359"/>
      <c r="L181" s="359"/>
      <c r="M181" s="359"/>
      <c r="N181" s="359" t="s">
        <v>15776</v>
      </c>
      <c r="O181" s="359" t="s">
        <v>15776</v>
      </c>
      <c r="P181" s="360" t="s">
        <v>489</v>
      </c>
      <c r="Q181" s="361" t="s">
        <v>15768</v>
      </c>
      <c r="R181" s="208" t="str">
        <f ca="1">IF(ISERROR($V181),"",OFFSET('Smelter Look-up'!$C$4,$V181-4,0)&amp;"")</f>
        <v>NPM Silmet AS</v>
      </c>
      <c r="S181" s="215" t="str">
        <f t="shared" ca="1" si="24"/>
        <v>EE</v>
      </c>
      <c r="T181" s="215" t="str">
        <f ca="1">IF(B181="","",IF(ISERROR(MATCH($J181,SorP!$B$1:$B$6230,0)),"",INDIRECT("'SorP'!$A$"&amp;MATCH($J181,SorP!$B$1:$B$6230,0))))</f>
        <v>EE-44</v>
      </c>
      <c r="U181" s="231"/>
      <c r="V181" s="262">
        <f>IF(C181="",NA(),IF(OR(C181="Smelter not listed",C181="Smelter not yet identified"),MATCH($B181&amp;$D181,'Smelter Look-up'!$J:$J,0),MATCH($B181&amp;$C181,'Smelter Look-up'!$J:$J,0)))</f>
        <v>361</v>
      </c>
      <c r="W181" s="263"/>
      <c r="X181" s="263">
        <f t="shared" si="25"/>
        <v>0</v>
      </c>
      <c r="Y181" s="263"/>
      <c r="Z181" s="263"/>
      <c r="AB181" s="265" t="str">
        <f t="shared" si="26"/>
        <v>TantalumNPM Silmet AS</v>
      </c>
    </row>
    <row r="182" spans="1:28" s="264" customFormat="1" ht="38.25">
      <c r="A182" s="207" t="s">
        <v>760</v>
      </c>
      <c r="B182" s="208" t="s">
        <v>1132</v>
      </c>
      <c r="C182" s="356" t="s">
        <v>817</v>
      </c>
      <c r="D182" s="270"/>
      <c r="E182" s="208" t="s">
        <v>2456</v>
      </c>
      <c r="F182" s="208" t="s">
        <v>760</v>
      </c>
      <c r="G182" s="208" t="s">
        <v>13320</v>
      </c>
      <c r="H182" s="357">
        <v>0</v>
      </c>
      <c r="I182" s="358" t="s">
        <v>13912</v>
      </c>
      <c r="J182" s="358" t="s">
        <v>2280</v>
      </c>
      <c r="K182" s="359"/>
      <c r="L182" s="359"/>
      <c r="M182" s="359"/>
      <c r="N182" s="359" t="s">
        <v>15770</v>
      </c>
      <c r="O182" s="359" t="s">
        <v>15770</v>
      </c>
      <c r="P182" s="360" t="s">
        <v>488</v>
      </c>
      <c r="Q182" s="361" t="s">
        <v>15768</v>
      </c>
      <c r="R182" s="208" t="str">
        <f ca="1">IF(ISERROR($V182),"",OFFSET('Smelter Look-up'!$C$4,$V182-4,0)&amp;"")</f>
        <v>QuantumClean</v>
      </c>
      <c r="S182" s="215" t="str">
        <f t="shared" ca="1" si="24"/>
        <v>US</v>
      </c>
      <c r="T182" s="215" t="str">
        <f ca="1">IF(B182="","",IF(ISERROR(MATCH($J182,SorP!$B$1:$B$6230,0)),"",INDIRECT("'SorP'!$A$"&amp;MATCH($J182,SorP!$B$1:$B$6230,0))))</f>
        <v>US-TX</v>
      </c>
      <c r="U182" s="231"/>
      <c r="V182" s="262">
        <f>IF(C182="",NA(),IF(OR(C182="Smelter not listed",C182="Smelter not yet identified"),MATCH($B182&amp;$D182,'Smelter Look-up'!$J:$J,0),MATCH($B182&amp;$C182,'Smelter Look-up'!$J:$J,0)))</f>
        <v>362</v>
      </c>
      <c r="W182" s="263"/>
      <c r="X182" s="263">
        <f t="shared" si="25"/>
        <v>0</v>
      </c>
      <c r="Y182" s="263"/>
      <c r="Z182" s="263"/>
      <c r="AB182" s="265" t="str">
        <f t="shared" si="26"/>
        <v>TantalumQuantumClean</v>
      </c>
    </row>
    <row r="183" spans="1:28" s="264" customFormat="1" ht="76.5">
      <c r="A183" s="207" t="s">
        <v>1769</v>
      </c>
      <c r="B183" s="208" t="s">
        <v>1132</v>
      </c>
      <c r="C183" s="356" t="s">
        <v>12513</v>
      </c>
      <c r="D183" s="270"/>
      <c r="E183" s="208" t="s">
        <v>1096</v>
      </c>
      <c r="F183" s="208" t="s">
        <v>1769</v>
      </c>
      <c r="G183" s="208" t="s">
        <v>13320</v>
      </c>
      <c r="H183" s="357">
        <v>0</v>
      </c>
      <c r="I183" s="358" t="s">
        <v>1731</v>
      </c>
      <c r="J183" s="358" t="s">
        <v>1770</v>
      </c>
      <c r="K183" s="359"/>
      <c r="L183" s="359"/>
      <c r="M183" s="359"/>
      <c r="N183" s="359"/>
      <c r="O183" s="359"/>
      <c r="P183" s="360" t="s">
        <v>489</v>
      </c>
      <c r="Q183" s="361" t="s">
        <v>15768</v>
      </c>
      <c r="R183" s="208" t="str">
        <f ca="1">IF(ISERROR($V183),"",OFFSET('Smelter Look-up'!$C$4,$V183-4,0)&amp;"")</f>
        <v>Resind Industria e Comercio Ltda.</v>
      </c>
      <c r="S183" s="215" t="str">
        <f t="shared" ca="1" si="24"/>
        <v>BR</v>
      </c>
      <c r="T183" s="215" t="str">
        <f ca="1">IF(B183="","",IF(ISERROR(MATCH($J183,SorP!$B$1:$B$6230,0)),"",INDIRECT("'SorP'!$A$"&amp;MATCH($J183,SorP!$B$1:$B$6230,0))))</f>
        <v>BR-MG</v>
      </c>
      <c r="U183" s="231"/>
      <c r="V183" s="262">
        <f>IF(C183="",NA(),IF(OR(C183="Smelter not listed",C183="Smelter not yet identified"),MATCH($B183&amp;$D183,'Smelter Look-up'!$J:$J,0),MATCH($B183&amp;$C183,'Smelter Look-up'!$J:$J,0)))</f>
        <v>364</v>
      </c>
      <c r="W183" s="263"/>
      <c r="X183" s="263">
        <f t="shared" si="25"/>
        <v>0</v>
      </c>
      <c r="Y183" s="263"/>
      <c r="Z183" s="263"/>
      <c r="AB183" s="265" t="str">
        <f t="shared" si="26"/>
        <v>TantalumResind Industria e Comercio Ltda.</v>
      </c>
    </row>
    <row r="184" spans="1:28" s="264" customFormat="1" ht="127.5">
      <c r="A184" s="207" t="s">
        <v>761</v>
      </c>
      <c r="B184" s="208" t="s">
        <v>1132</v>
      </c>
      <c r="C184" s="356" t="s">
        <v>13355</v>
      </c>
      <c r="D184" s="270"/>
      <c r="E184" s="208" t="s">
        <v>1100</v>
      </c>
      <c r="F184" s="208" t="s">
        <v>761</v>
      </c>
      <c r="G184" s="208" t="s">
        <v>13320</v>
      </c>
      <c r="H184" s="357">
        <v>0</v>
      </c>
      <c r="I184" s="358" t="s">
        <v>1743</v>
      </c>
      <c r="J184" s="358" t="s">
        <v>13703</v>
      </c>
      <c r="K184" s="359"/>
      <c r="L184" s="359"/>
      <c r="M184" s="359"/>
      <c r="N184" s="359" t="s">
        <v>15774</v>
      </c>
      <c r="O184" s="359" t="s">
        <v>15774</v>
      </c>
      <c r="P184" s="360" t="s">
        <v>489</v>
      </c>
      <c r="Q184" s="361" t="s">
        <v>15768</v>
      </c>
      <c r="R184" s="208" t="str">
        <f ca="1">IF(ISERROR($V184),"",OFFSET('Smelter Look-up'!$C$4,$V184-4,0)&amp;"")</f>
        <v>Yanling Jincheng Tantalum &amp; Niobium Co., Ltd.</v>
      </c>
      <c r="S184" s="215" t="str">
        <f t="shared" ca="1" si="24"/>
        <v>CN</v>
      </c>
      <c r="T184" s="215" t="str">
        <f ca="1">IF(B184="","",IF(ISERROR(MATCH($J184,SorP!$B$1:$B$6230,0)),"",INDIRECT("'SorP'!$A$"&amp;MATCH($J184,SorP!$B$1:$B$6230,0))))</f>
        <v>CN-HN</v>
      </c>
      <c r="U184" s="231"/>
      <c r="V184" s="262">
        <f>IF(C184="",NA(),IF(OR(C184="Smelter not listed",C184="Smelter not yet identified"),MATCH($B184&amp;$D184,'Smelter Look-up'!$J:$J,0),MATCH($B184&amp;$C184,'Smelter Look-up'!$J:$J,0)))</f>
        <v>384</v>
      </c>
      <c r="W184" s="263"/>
      <c r="X184" s="263">
        <f t="shared" si="25"/>
        <v>0</v>
      </c>
      <c r="Y184" s="263"/>
      <c r="Z184" s="263"/>
      <c r="AB184" s="265" t="str">
        <f t="shared" si="26"/>
        <v>TantalumYanling Jincheng Tantalum &amp; Niobium Co., Ltd.</v>
      </c>
    </row>
    <row r="185" spans="1:28" s="264" customFormat="1" ht="89.25">
      <c r="A185" s="207" t="s">
        <v>762</v>
      </c>
      <c r="B185" s="208" t="s">
        <v>1132</v>
      </c>
      <c r="C185" s="356" t="s">
        <v>1378</v>
      </c>
      <c r="D185" s="270"/>
      <c r="E185" s="208" t="s">
        <v>883</v>
      </c>
      <c r="F185" s="208" t="s">
        <v>762</v>
      </c>
      <c r="G185" s="208" t="s">
        <v>13320</v>
      </c>
      <c r="H185" s="357">
        <v>0</v>
      </c>
      <c r="I185" s="358" t="s">
        <v>1744</v>
      </c>
      <c r="J185" s="358" t="s">
        <v>10087</v>
      </c>
      <c r="K185" s="359"/>
      <c r="L185" s="359"/>
      <c r="M185" s="359"/>
      <c r="N185" s="359"/>
      <c r="O185" s="359"/>
      <c r="P185" s="360" t="s">
        <v>489</v>
      </c>
      <c r="Q185" s="361" t="s">
        <v>15768</v>
      </c>
      <c r="R185" s="208" t="str">
        <f ca="1">IF(ISERROR($V185),"",OFFSET('Smelter Look-up'!$C$4,$V185-4,0)&amp;"")</f>
        <v>Solikamsk Magnesium Works OAO</v>
      </c>
      <c r="S185" s="215" t="str">
        <f t="shared" ca="1" si="24"/>
        <v>RU</v>
      </c>
      <c r="T185" s="215" t="str">
        <f ca="1">IF(B185="","",IF(ISERROR(MATCH($J185,SorP!$B$1:$B$6230,0)),"",INDIRECT("'SorP'!$A$"&amp;MATCH($J185,SorP!$B$1:$B$6230,0))))</f>
        <v>RU-PER</v>
      </c>
      <c r="U185" s="231"/>
      <c r="V185" s="262">
        <f>IF(C185="",NA(),IF(OR(C185="Smelter not listed",C185="Smelter not yet identified"),MATCH($B185&amp;$D185,'Smelter Look-up'!$J:$J,0),MATCH($B185&amp;$C185,'Smelter Look-up'!$J:$J,0)))</f>
        <v>370</v>
      </c>
      <c r="W185" s="263"/>
      <c r="X185" s="263">
        <f t="shared" si="25"/>
        <v>0</v>
      </c>
      <c r="Y185" s="263"/>
      <c r="Z185" s="263"/>
      <c r="AB185" s="265" t="str">
        <f t="shared" si="26"/>
        <v>TantalumSolikamsk Magnesium Works OAO</v>
      </c>
    </row>
    <row r="186" spans="1:28" s="264" customFormat="1" ht="63.75">
      <c r="A186" s="207" t="s">
        <v>763</v>
      </c>
      <c r="B186" s="208" t="s">
        <v>1132</v>
      </c>
      <c r="C186" s="356" t="s">
        <v>2469</v>
      </c>
      <c r="D186" s="270"/>
      <c r="E186" s="208" t="s">
        <v>1108</v>
      </c>
      <c r="F186" s="208" t="s">
        <v>763</v>
      </c>
      <c r="G186" s="208" t="s">
        <v>13320</v>
      </c>
      <c r="H186" s="357">
        <v>0</v>
      </c>
      <c r="I186" s="358" t="s">
        <v>1745</v>
      </c>
      <c r="J186" s="358" t="s">
        <v>1558</v>
      </c>
      <c r="K186" s="359"/>
      <c r="L186" s="359"/>
      <c r="M186" s="359"/>
      <c r="N186" s="359" t="s">
        <v>15777</v>
      </c>
      <c r="O186" s="359" t="s">
        <v>15777</v>
      </c>
      <c r="P186" s="360" t="s">
        <v>489</v>
      </c>
      <c r="Q186" s="361" t="s">
        <v>15768</v>
      </c>
      <c r="R186" s="208" t="str">
        <f ca="1">IF(ISERROR($V186),"",OFFSET('Smelter Look-up'!$C$4,$V186-4,0)&amp;"")</f>
        <v>Taki Chemical Co., Ltd.</v>
      </c>
      <c r="S186" s="215" t="str">
        <f t="shared" ca="1" si="24"/>
        <v>JP</v>
      </c>
      <c r="T186" s="215" t="str">
        <f ca="1">IF(B186="","",IF(ISERROR(MATCH($J186,SorP!$B$1:$B$6230,0)),"",INDIRECT("'SorP'!$A$"&amp;MATCH($J186,SorP!$B$1:$B$6230,0))))</f>
        <v>JP-28</v>
      </c>
      <c r="U186" s="231"/>
      <c r="V186" s="262">
        <f>IF(C186="",NA(),IF(OR(C186="Smelter not listed",C186="Smelter not yet identified"),MATCH($B186&amp;$D186,'Smelter Look-up'!$J:$J,0),MATCH($B186&amp;$C186,'Smelter Look-up'!$J:$J,0)))</f>
        <v>372</v>
      </c>
      <c r="W186" s="263"/>
      <c r="X186" s="263">
        <f t="shared" si="25"/>
        <v>0</v>
      </c>
      <c r="Y186" s="263"/>
      <c r="Z186" s="263"/>
      <c r="AB186" s="265" t="str">
        <f t="shared" si="26"/>
        <v>TantalumTaki Chemical Co., Ltd.</v>
      </c>
    </row>
    <row r="187" spans="1:28" s="264" customFormat="1" ht="38.25">
      <c r="A187" s="207" t="s">
        <v>764</v>
      </c>
      <c r="B187" s="208" t="s">
        <v>1132</v>
      </c>
      <c r="C187" s="356" t="s">
        <v>1746</v>
      </c>
      <c r="D187" s="270"/>
      <c r="E187" s="208" t="s">
        <v>2456</v>
      </c>
      <c r="F187" s="208" t="s">
        <v>764</v>
      </c>
      <c r="G187" s="208" t="s">
        <v>13320</v>
      </c>
      <c r="H187" s="357">
        <v>0</v>
      </c>
      <c r="I187" s="358" t="s">
        <v>1747</v>
      </c>
      <c r="J187" s="358" t="s">
        <v>1748</v>
      </c>
      <c r="K187" s="359"/>
      <c r="L187" s="359"/>
      <c r="M187" s="359"/>
      <c r="N187" s="359" t="s">
        <v>15769</v>
      </c>
      <c r="O187" s="359" t="s">
        <v>15769</v>
      </c>
      <c r="P187" s="360" t="s">
        <v>489</v>
      </c>
      <c r="Q187" s="361" t="s">
        <v>15768</v>
      </c>
      <c r="R187" s="208" t="str">
        <f ca="1">IF(ISERROR($V187),"",OFFSET('Smelter Look-up'!$C$4,$V187-4,0)&amp;"")</f>
        <v>Telex Metals</v>
      </c>
      <c r="S187" s="215" t="str">
        <f t="shared" ca="1" si="24"/>
        <v>US</v>
      </c>
      <c r="T187" s="215" t="str">
        <f ca="1">IF(B187="","",IF(ISERROR(MATCH($J187,SorP!$B$1:$B$6230,0)),"",INDIRECT("'SorP'!$A$"&amp;MATCH($J187,SorP!$B$1:$B$6230,0))))</f>
        <v>US-PA</v>
      </c>
      <c r="U187" s="231"/>
      <c r="V187" s="262">
        <f>IF(C187="",NA(),IF(OR(C187="Smelter not listed",C187="Smelter not yet identified"),MATCH($B187&amp;$D187,'Smelter Look-up'!$J:$J,0),MATCH($B187&amp;$C187,'Smelter Look-up'!$J:$J,0)))</f>
        <v>378</v>
      </c>
      <c r="W187" s="263"/>
      <c r="X187" s="263">
        <f t="shared" si="25"/>
        <v>0</v>
      </c>
      <c r="Y187" s="263"/>
      <c r="Z187" s="263"/>
      <c r="AB187" s="265" t="str">
        <f t="shared" si="26"/>
        <v>TantalumTelex Metals</v>
      </c>
    </row>
    <row r="188" spans="1:28" s="264" customFormat="1" ht="76.5">
      <c r="A188" s="207" t="s">
        <v>765</v>
      </c>
      <c r="B188" s="208" t="s">
        <v>1132</v>
      </c>
      <c r="C188" s="356" t="s">
        <v>1749</v>
      </c>
      <c r="D188" s="270"/>
      <c r="E188" s="208" t="s">
        <v>1109</v>
      </c>
      <c r="F188" s="208" t="s">
        <v>765</v>
      </c>
      <c r="G188" s="208" t="s">
        <v>13320</v>
      </c>
      <c r="H188" s="357">
        <v>0</v>
      </c>
      <c r="I188" s="358" t="s">
        <v>1613</v>
      </c>
      <c r="J188" s="358" t="s">
        <v>7109</v>
      </c>
      <c r="K188" s="359"/>
      <c r="L188" s="359"/>
      <c r="M188" s="359"/>
      <c r="N188" s="359" t="s">
        <v>15774</v>
      </c>
      <c r="O188" s="359" t="s">
        <v>15774</v>
      </c>
      <c r="P188" s="360" t="s">
        <v>489</v>
      </c>
      <c r="Q188" s="361" t="s">
        <v>15768</v>
      </c>
      <c r="R188" s="208" t="str">
        <f ca="1">IF(ISERROR($V188),"",OFFSET('Smelter Look-up'!$C$4,$V188-4,0)&amp;"")</f>
        <v>Ulba Metallurgical Plant JSC</v>
      </c>
      <c r="S188" s="215" t="str">
        <f t="shared" ca="1" si="24"/>
        <v>KZ</v>
      </c>
      <c r="T188" s="215" t="str">
        <f ca="1">IF(B188="","",IF(ISERROR(MATCH($J188,SorP!$B$1:$B$6230,0)),"",INDIRECT("'SorP'!$A$"&amp;MATCH($J188,SorP!$B$1:$B$6230,0))))</f>
        <v>KZ-KAR</v>
      </c>
      <c r="U188" s="231"/>
      <c r="V188" s="262">
        <f>IF(C188="",NA(),IF(OR(C188="Smelter not listed",C188="Smelter not yet identified"),MATCH($B188&amp;$D188,'Smelter Look-up'!$J:$J,0),MATCH($B188&amp;$C188,'Smelter Look-up'!$J:$J,0)))</f>
        <v>380</v>
      </c>
      <c r="W188" s="263"/>
      <c r="X188" s="263">
        <f t="shared" si="25"/>
        <v>0</v>
      </c>
      <c r="Y188" s="263"/>
      <c r="Z188" s="263"/>
      <c r="AB188" s="265" t="str">
        <f t="shared" si="26"/>
        <v>TantalumUlba Metallurgical Plant JSC</v>
      </c>
    </row>
    <row r="189" spans="1:28" s="264" customFormat="1" ht="127.5">
      <c r="A189" s="207" t="s">
        <v>1400</v>
      </c>
      <c r="B189" s="208" t="s">
        <v>1132</v>
      </c>
      <c r="C189" s="356" t="s">
        <v>2185</v>
      </c>
      <c r="D189" s="270"/>
      <c r="E189" s="208" t="s">
        <v>1100</v>
      </c>
      <c r="F189" s="208" t="s">
        <v>1400</v>
      </c>
      <c r="G189" s="208" t="s">
        <v>13320</v>
      </c>
      <c r="H189" s="357">
        <v>0</v>
      </c>
      <c r="I189" s="358" t="s">
        <v>1754</v>
      </c>
      <c r="J189" s="358" t="s">
        <v>13704</v>
      </c>
      <c r="K189" s="359"/>
      <c r="L189" s="359"/>
      <c r="M189" s="359"/>
      <c r="N189" s="359" t="s">
        <v>15778</v>
      </c>
      <c r="O189" s="359" t="s">
        <v>15778</v>
      </c>
      <c r="P189" s="360" t="s">
        <v>489</v>
      </c>
      <c r="Q189" s="361" t="s">
        <v>15768</v>
      </c>
      <c r="R189" s="208" t="str">
        <f ca="1">IF(ISERROR($V189),"",OFFSET('Smelter Look-up'!$C$4,$V189-4,0)&amp;"")</f>
        <v>XinXing HaoRong Electronic Material Co., Ltd.</v>
      </c>
      <c r="S189" s="215" t="str">
        <f t="shared" ca="1" si="24"/>
        <v>CN</v>
      </c>
      <c r="T189" s="215" t="str">
        <f ca="1">IF(B189="","",IF(ISERROR(MATCH($J189,SorP!$B$1:$B$6230,0)),"",INDIRECT("'SorP'!$A$"&amp;MATCH($J189,SorP!$B$1:$B$6230,0))))</f>
        <v>CN-GD</v>
      </c>
      <c r="U189" s="231"/>
      <c r="V189" s="262">
        <f>IF(C189="",NA(),IF(OR(C189="Smelter not listed",C189="Smelter not yet identified"),MATCH($B189&amp;$D189,'Smelter Look-up'!$J:$J,0),MATCH($B189&amp;$C189,'Smelter Look-up'!$J:$J,0)))</f>
        <v>382</v>
      </c>
      <c r="W189" s="263"/>
      <c r="X189" s="263">
        <f t="shared" si="25"/>
        <v>0</v>
      </c>
      <c r="Y189" s="263"/>
      <c r="Z189" s="263"/>
      <c r="AB189" s="265" t="str">
        <f t="shared" si="26"/>
        <v>TantalumXinXing HaoRong Electronic Material Co., Ltd.</v>
      </c>
    </row>
    <row r="190" spans="1:28" s="264" customFormat="1" ht="25.5">
      <c r="A190" s="207" t="s">
        <v>766</v>
      </c>
      <c r="B190" s="208" t="s">
        <v>1131</v>
      </c>
      <c r="C190" s="356" t="s">
        <v>49</v>
      </c>
      <c r="D190" s="270"/>
      <c r="E190" s="208" t="s">
        <v>2456</v>
      </c>
      <c r="F190" s="208" t="s">
        <v>766</v>
      </c>
      <c r="G190" s="208" t="s">
        <v>13320</v>
      </c>
      <c r="H190" s="357">
        <v>0</v>
      </c>
      <c r="I190" s="358" t="s">
        <v>1772</v>
      </c>
      <c r="J190" s="358" t="s">
        <v>1748</v>
      </c>
      <c r="K190" s="359"/>
      <c r="L190" s="359"/>
      <c r="M190" s="359"/>
      <c r="N190" s="359" t="s">
        <v>15774</v>
      </c>
      <c r="O190" s="359" t="s">
        <v>15774</v>
      </c>
      <c r="P190" s="360" t="s">
        <v>489</v>
      </c>
      <c r="Q190" s="361" t="s">
        <v>15768</v>
      </c>
      <c r="R190" s="208" t="str">
        <f ca="1">IF(ISERROR($V190),"",OFFSET('Smelter Look-up'!$C$4,$V190-4,0)&amp;"")</f>
        <v>Alpha</v>
      </c>
      <c r="S190" s="215" t="str">
        <f t="shared" ca="1" si="24"/>
        <v>US</v>
      </c>
      <c r="T190" s="215" t="str">
        <f ca="1">IF(B190="","",IF(ISERROR(MATCH($J190,SorP!$B$1:$B$6230,0)),"",INDIRECT("'SorP'!$A$"&amp;MATCH($J190,SorP!$B$1:$B$6230,0))))</f>
        <v>US-PA</v>
      </c>
      <c r="U190" s="231"/>
      <c r="V190" s="262">
        <f>IF(C190="",NA(),IF(OR(C190="Smelter not listed",C190="Smelter not yet identified"),MATCH($B190&amp;$D190,'Smelter Look-up'!$J:$J,0),MATCH($B190&amp;$C190,'Smelter Look-up'!$J:$J,0)))</f>
        <v>390</v>
      </c>
      <c r="W190" s="263"/>
      <c r="X190" s="263">
        <f t="shared" si="25"/>
        <v>0</v>
      </c>
      <c r="Y190" s="263"/>
      <c r="Z190" s="263"/>
      <c r="AB190" s="265" t="str">
        <f t="shared" si="26"/>
        <v>TinAlpha</v>
      </c>
    </row>
    <row r="191" spans="1:28" s="264" customFormat="1" ht="51">
      <c r="A191" s="207" t="s">
        <v>783</v>
      </c>
      <c r="B191" s="208" t="s">
        <v>1131</v>
      </c>
      <c r="C191" s="356" t="s">
        <v>2171</v>
      </c>
      <c r="D191" s="270"/>
      <c r="E191" s="208" t="s">
        <v>1105</v>
      </c>
      <c r="F191" s="208" t="s">
        <v>783</v>
      </c>
      <c r="G191" s="208" t="s">
        <v>13320</v>
      </c>
      <c r="H191" s="357">
        <v>0</v>
      </c>
      <c r="I191" s="358" t="s">
        <v>1779</v>
      </c>
      <c r="J191" s="358" t="s">
        <v>12931</v>
      </c>
      <c r="K191" s="359"/>
      <c r="L191" s="359"/>
      <c r="M191" s="359"/>
      <c r="N191" s="359"/>
      <c r="O191" s="359"/>
      <c r="P191" s="360" t="s">
        <v>489</v>
      </c>
      <c r="Q191" s="361" t="s">
        <v>15768</v>
      </c>
      <c r="R191" s="208" t="str">
        <f ca="1">IF(ISERROR($V191),"",OFFSET('Smelter Look-up'!$C$4,$V191-4,0)&amp;"")</f>
        <v>PT Refined Bangka Tin</v>
      </c>
      <c r="S191" s="215" t="str">
        <f t="shared" ca="1" si="24"/>
        <v>ID</v>
      </c>
      <c r="T191" s="215" t="str">
        <f ca="1">IF(B191="","",IF(ISERROR(MATCH($J191,SorP!$B$1:$B$6230,0)),"",INDIRECT("'SorP'!$A$"&amp;MATCH($J191,SorP!$B$1:$B$6230,0))))</f>
        <v>ID-BB</v>
      </c>
      <c r="U191" s="231"/>
      <c r="V191" s="262">
        <f>IF(C191="",NA(),IF(OR(C191="Smelter not listed",C191="Smelter not yet identified"),MATCH($B191&amp;$D191,'Smelter Look-up'!$J:$J,0),MATCH($B191&amp;$C191,'Smelter Look-up'!$J:$J,0)))</f>
        <v>502</v>
      </c>
      <c r="W191" s="263"/>
      <c r="X191" s="263">
        <f t="shared" si="25"/>
        <v>0</v>
      </c>
      <c r="Y191" s="263"/>
      <c r="Z191" s="263"/>
      <c r="AB191" s="265" t="str">
        <f t="shared" si="26"/>
        <v>TinPT Refined Bangka Tin</v>
      </c>
    </row>
    <row r="192" spans="1:28" s="264" customFormat="1" ht="102">
      <c r="A192" s="207" t="s">
        <v>2299</v>
      </c>
      <c r="B192" s="208" t="s">
        <v>1131</v>
      </c>
      <c r="C192" s="356" t="s">
        <v>2358</v>
      </c>
      <c r="D192" s="270"/>
      <c r="E192" s="208" t="s">
        <v>1100</v>
      </c>
      <c r="F192" s="208" t="s">
        <v>2299</v>
      </c>
      <c r="G192" s="208" t="s">
        <v>13320</v>
      </c>
      <c r="H192" s="357">
        <v>0</v>
      </c>
      <c r="I192" s="358" t="s">
        <v>1787</v>
      </c>
      <c r="J192" s="358" t="s">
        <v>13703</v>
      </c>
      <c r="K192" s="359"/>
      <c r="L192" s="359"/>
      <c r="M192" s="359"/>
      <c r="N192" s="359" t="s">
        <v>15769</v>
      </c>
      <c r="O192" s="359" t="s">
        <v>15769</v>
      </c>
      <c r="P192" s="360" t="s">
        <v>489</v>
      </c>
      <c r="Q192" s="361" t="s">
        <v>15768</v>
      </c>
      <c r="R192" s="208" t="str">
        <f ca="1">IF(ISERROR($V192),"",OFFSET('Smelter Look-up'!$C$4,$V192-4,0)&amp;"")</f>
        <v>Chenzhou Yunxiang Mining and Metallurgy Co., Ltd.</v>
      </c>
      <c r="S192" s="215" t="str">
        <f t="shared" ca="1" si="24"/>
        <v>CN</v>
      </c>
      <c r="T192" s="215" t="str">
        <f ca="1">IF(B192="","",IF(ISERROR(MATCH($J192,SorP!$B$1:$B$6230,0)),"",INDIRECT("'SorP'!$A$"&amp;MATCH($J192,SorP!$B$1:$B$6230,0))))</f>
        <v>CN-HN</v>
      </c>
      <c r="U192" s="231"/>
      <c r="V192" s="262">
        <f>IF(C192="",NA(),IF(OR(C192="Smelter not listed",C192="Smelter not yet identified"),MATCH($B192&amp;$D192,'Smelter Look-up'!$J:$J,0),MATCH($B192&amp;$C192,'Smelter Look-up'!$J:$J,0)))</f>
        <v>399</v>
      </c>
      <c r="W192" s="263"/>
      <c r="X192" s="263">
        <f t="shared" si="25"/>
        <v>0</v>
      </c>
      <c r="Y192" s="263"/>
      <c r="Z192" s="263"/>
      <c r="AB192" s="265" t="str">
        <f t="shared" si="26"/>
        <v>TinChenzhou Yunxiang Mining and Metallurgy Co., Ltd.</v>
      </c>
    </row>
    <row r="193" spans="1:28" s="264" customFormat="1" ht="89.25">
      <c r="A193" s="207" t="s">
        <v>13010</v>
      </c>
      <c r="B193" s="208" t="s">
        <v>1131</v>
      </c>
      <c r="C193" s="356" t="s">
        <v>13009</v>
      </c>
      <c r="D193" s="270"/>
      <c r="E193" s="208" t="s">
        <v>1100</v>
      </c>
      <c r="F193" s="208" t="s">
        <v>13010</v>
      </c>
      <c r="G193" s="208" t="s">
        <v>13320</v>
      </c>
      <c r="H193" s="357">
        <v>0</v>
      </c>
      <c r="I193" s="358" t="s">
        <v>13028</v>
      </c>
      <c r="J193" s="358" t="s">
        <v>13682</v>
      </c>
      <c r="K193" s="359"/>
      <c r="L193" s="359"/>
      <c r="M193" s="359"/>
      <c r="N193" s="359" t="s">
        <v>15769</v>
      </c>
      <c r="O193" s="359" t="s">
        <v>15769</v>
      </c>
      <c r="P193" s="360" t="s">
        <v>489</v>
      </c>
      <c r="Q193" s="361" t="s">
        <v>15768</v>
      </c>
      <c r="R193" s="208" t="str">
        <f ca="1">IF(ISERROR($V193),"",OFFSET('Smelter Look-up'!$C$4,$V193-4,0)&amp;"")</f>
        <v>Chifeng Dajingzi Tin Industry Co., Ltd.</v>
      </c>
      <c r="S193" s="215" t="str">
        <f t="shared" ca="1" si="24"/>
        <v>CN</v>
      </c>
      <c r="T193" s="215" t="str">
        <f ca="1">IF(B193="","",IF(ISERROR(MATCH($J193,SorP!$B$1:$B$6230,0)),"",INDIRECT("'SorP'!$A$"&amp;MATCH($J193,SorP!$B$1:$B$6230,0))))</f>
        <v>CN-NM</v>
      </c>
      <c r="U193" s="231"/>
      <c r="V193" s="262">
        <f>IF(C193="",NA(),IF(OR(C193="Smelter not listed",C193="Smelter not yet identified"),MATCH($B193&amp;$D193,'Smelter Look-up'!$J:$J,0),MATCH($B193&amp;$C193,'Smelter Look-up'!$J:$J,0)))</f>
        <v>400</v>
      </c>
      <c r="W193" s="263"/>
      <c r="X193" s="263">
        <f t="shared" si="25"/>
        <v>0</v>
      </c>
      <c r="Y193" s="263"/>
      <c r="Z193" s="263"/>
      <c r="AB193" s="265" t="str">
        <f t="shared" si="26"/>
        <v>TinChifeng Dajingzi Tin Industry Co., Ltd.</v>
      </c>
    </row>
    <row r="194" spans="1:28" s="264" customFormat="1" ht="63.75">
      <c r="A194" s="207" t="s">
        <v>773</v>
      </c>
      <c r="B194" s="208" t="s">
        <v>1131</v>
      </c>
      <c r="C194" s="356" t="s">
        <v>1327</v>
      </c>
      <c r="D194" s="270"/>
      <c r="E194" s="208" t="s">
        <v>1100</v>
      </c>
      <c r="F194" s="208" t="s">
        <v>773</v>
      </c>
      <c r="G194" s="208" t="s">
        <v>13320</v>
      </c>
      <c r="H194" s="357">
        <v>0</v>
      </c>
      <c r="I194" s="358" t="s">
        <v>1788</v>
      </c>
      <c r="J194" s="358" t="s">
        <v>13683</v>
      </c>
      <c r="K194" s="359"/>
      <c r="L194" s="359"/>
      <c r="M194" s="359"/>
      <c r="N194" s="359"/>
      <c r="O194" s="359"/>
      <c r="P194" s="360" t="s">
        <v>489</v>
      </c>
      <c r="Q194" s="361" t="s">
        <v>15768</v>
      </c>
      <c r="R194" s="208" t="str">
        <f ca="1">IF(ISERROR($V194),"",OFFSET('Smelter Look-up'!$C$4,$V194-4,0)&amp;"")</f>
        <v>China Tin Group Co., Ltd.</v>
      </c>
      <c r="S194" s="215" t="str">
        <f t="shared" ca="1" si="24"/>
        <v>CN</v>
      </c>
      <c r="T194" s="215" t="str">
        <f ca="1">IF(B194="","",IF(ISERROR(MATCH($J194,SorP!$B$1:$B$6230,0)),"",INDIRECT("'SorP'!$A$"&amp;MATCH($J194,SorP!$B$1:$B$6230,0))))</f>
        <v>CN-GX</v>
      </c>
      <c r="U194" s="231"/>
      <c r="V194" s="262">
        <f>IF(C194="",NA(),IF(OR(C194="Smelter not listed",C194="Smelter not yet identified"),MATCH($B194&amp;$D194,'Smelter Look-up'!$J:$J,0),MATCH($B194&amp;$C194,'Smelter Look-up'!$J:$J,0)))</f>
        <v>402</v>
      </c>
      <c r="W194" s="263"/>
      <c r="X194" s="263">
        <f t="shared" si="25"/>
        <v>0</v>
      </c>
      <c r="Y194" s="263"/>
      <c r="Z194" s="263"/>
      <c r="AB194" s="265" t="str">
        <f t="shared" si="26"/>
        <v>TinChina Tin Group Co., Ltd.</v>
      </c>
    </row>
    <row r="195" spans="1:28" s="264" customFormat="1" ht="20.25">
      <c r="A195" s="207" t="s">
        <v>1410</v>
      </c>
      <c r="B195" s="208" t="s">
        <v>1131</v>
      </c>
      <c r="C195" s="356" t="s">
        <v>906</v>
      </c>
      <c r="D195" s="270"/>
      <c r="E195" s="208" t="s">
        <v>1108</v>
      </c>
      <c r="F195" s="208" t="s">
        <v>1410</v>
      </c>
      <c r="G195" s="208" t="s">
        <v>13320</v>
      </c>
      <c r="H195" s="357">
        <v>0</v>
      </c>
      <c r="I195" s="358" t="s">
        <v>1581</v>
      </c>
      <c r="J195" s="358" t="s">
        <v>1582</v>
      </c>
      <c r="K195" s="359"/>
      <c r="L195" s="359"/>
      <c r="M195" s="359"/>
      <c r="N195" s="359" t="s">
        <v>15770</v>
      </c>
      <c r="O195" s="359" t="s">
        <v>15770</v>
      </c>
      <c r="P195" s="360" t="s">
        <v>488</v>
      </c>
      <c r="Q195" s="361" t="s">
        <v>15768</v>
      </c>
      <c r="R195" s="208" t="str">
        <f ca="1">IF(ISERROR($V195),"",OFFSET('Smelter Look-up'!$C$4,$V195-4,0)&amp;"")</f>
        <v>Dowa</v>
      </c>
      <c r="S195" s="215" t="str">
        <f t="shared" ca="1" si="24"/>
        <v>JP</v>
      </c>
      <c r="T195" s="215" t="str">
        <f ca="1">IF(B195="","",IF(ISERROR(MATCH($J195,SorP!$B$1:$B$6230,0)),"",INDIRECT("'SorP'!$A$"&amp;MATCH($J195,SorP!$B$1:$B$6230,0))))</f>
        <v>JP-05</v>
      </c>
      <c r="U195" s="231"/>
      <c r="V195" s="262">
        <f>IF(C195="",NA(),IF(OR(C195="Smelter not listed",C195="Smelter not yet identified"),MATCH($B195&amp;$D195,'Smelter Look-up'!$J:$J,0),MATCH($B195&amp;$C195,'Smelter Look-up'!$J:$J,0)))</f>
        <v>414</v>
      </c>
      <c r="W195" s="263"/>
      <c r="X195" s="263">
        <f t="shared" si="25"/>
        <v>0</v>
      </c>
      <c r="Y195" s="263"/>
      <c r="Z195" s="263"/>
      <c r="AB195" s="265" t="str">
        <f t="shared" si="26"/>
        <v>TinDowa</v>
      </c>
    </row>
    <row r="196" spans="1:28" s="264" customFormat="1" ht="38.25">
      <c r="A196" s="207" t="s">
        <v>767</v>
      </c>
      <c r="B196" s="208" t="s">
        <v>1131</v>
      </c>
      <c r="C196" s="356" t="s">
        <v>842</v>
      </c>
      <c r="D196" s="270"/>
      <c r="E196" s="208" t="s">
        <v>2454</v>
      </c>
      <c r="F196" s="208" t="s">
        <v>767</v>
      </c>
      <c r="G196" s="208" t="s">
        <v>13320</v>
      </c>
      <c r="H196" s="357">
        <v>0</v>
      </c>
      <c r="I196" s="358" t="s">
        <v>1781</v>
      </c>
      <c r="J196" s="358" t="s">
        <v>1781</v>
      </c>
      <c r="K196" s="359"/>
      <c r="L196" s="359"/>
      <c r="M196" s="359"/>
      <c r="N196" s="359"/>
      <c r="O196" s="359"/>
      <c r="P196" s="360" t="s">
        <v>489</v>
      </c>
      <c r="Q196" s="361" t="s">
        <v>15768</v>
      </c>
      <c r="R196" s="208" t="str">
        <f ca="1">IF(ISERROR($V196),"",OFFSET('Smelter Look-up'!$C$4,$V196-4,0)&amp;"")</f>
        <v>EM Vinto</v>
      </c>
      <c r="S196" s="215" t="str">
        <f t="shared" ca="1" si="24"/>
        <v>BO</v>
      </c>
      <c r="T196" s="215" t="str">
        <f ca="1">IF(B196="","",IF(ISERROR(MATCH($J196,SorP!$B$1:$B$6230,0)),"",INDIRECT("'SorP'!$A$"&amp;MATCH($J196,SorP!$B$1:$B$6230,0))))</f>
        <v>BO-O</v>
      </c>
      <c r="U196" s="231"/>
      <c r="V196" s="262">
        <f>IF(C196="",NA(),IF(OR(C196="Smelter not listed",C196="Smelter not yet identified"),MATCH($B196&amp;$D196,'Smelter Look-up'!$J:$J,0),MATCH($B196&amp;$C196,'Smelter Look-up'!$J:$J,0)))</f>
        <v>418</v>
      </c>
      <c r="W196" s="263"/>
      <c r="X196" s="263">
        <f t="shared" si="25"/>
        <v>0</v>
      </c>
      <c r="Y196" s="263"/>
      <c r="Z196" s="263"/>
      <c r="AB196" s="265" t="str">
        <f t="shared" si="26"/>
        <v>TinEM Vinto</v>
      </c>
    </row>
    <row r="197" spans="1:28" s="264" customFormat="1" ht="25.5">
      <c r="A197" s="207" t="s">
        <v>769</v>
      </c>
      <c r="B197" s="208" t="s">
        <v>1131</v>
      </c>
      <c r="C197" s="356" t="s">
        <v>815</v>
      </c>
      <c r="D197" s="270"/>
      <c r="E197" s="208" t="s">
        <v>882</v>
      </c>
      <c r="F197" s="208" t="s">
        <v>769</v>
      </c>
      <c r="G197" s="208" t="s">
        <v>13320</v>
      </c>
      <c r="H197" s="357">
        <v>0</v>
      </c>
      <c r="I197" s="358" t="s">
        <v>1784</v>
      </c>
      <c r="J197" s="358" t="s">
        <v>9580</v>
      </c>
      <c r="K197" s="359"/>
      <c r="L197" s="359"/>
      <c r="M197" s="359"/>
      <c r="N197" s="359"/>
      <c r="O197" s="359"/>
      <c r="P197" s="360" t="s">
        <v>489</v>
      </c>
      <c r="Q197" s="361" t="s">
        <v>15768</v>
      </c>
      <c r="R197" s="208" t="str">
        <f ca="1">IF(ISERROR($V197),"",OFFSET('Smelter Look-up'!$C$4,$V197-4,0)&amp;"")</f>
        <v>Fenix Metals</v>
      </c>
      <c r="S197" s="215" t="str">
        <f t="shared" ref="S197" ca="1" si="27">IF(B197="","",IF(ISERROR(MATCH($E197,CL,0)),"Unknown",INDIRECT("'C'!$A$"&amp;MATCH($E197,CL,0)+1)))</f>
        <v>PL</v>
      </c>
      <c r="T197" s="215" t="str">
        <f ca="1">IF(B197="","",IF(ISERROR(MATCH($J197,SorP!$B$1:$B$6230,0)),"",INDIRECT("'SorP'!$A$"&amp;MATCH($J197,SorP!$B$1:$B$6230,0))))</f>
        <v>PL-18</v>
      </c>
      <c r="U197" s="231"/>
      <c r="V197" s="262">
        <f>IF(C197="",NA(),IF(OR(C197="Smelter not listed",C197="Smelter not yet identified"),MATCH($B197&amp;$D197,'Smelter Look-up'!$J:$J,0),MATCH($B197&amp;$C197,'Smelter Look-up'!$J:$J,0)))</f>
        <v>427</v>
      </c>
      <c r="W197" s="263"/>
      <c r="X197" s="263">
        <f t="shared" ref="X197" si="28">IF(AND(C197="Smelter not listed",OR(LEN(D197)=0,LEN(E197)=0)),1,0)</f>
        <v>0</v>
      </c>
      <c r="Y197" s="263"/>
      <c r="Z197" s="263"/>
      <c r="AB197" s="265" t="str">
        <f t="shared" ref="AB197" si="29">B197&amp;C197</f>
        <v>TinFenix Metals</v>
      </c>
    </row>
    <row r="198" spans="1:28" s="264" customFormat="1" ht="89.25">
      <c r="A198" s="207" t="s">
        <v>770</v>
      </c>
      <c r="B198" s="208" t="s">
        <v>1131</v>
      </c>
      <c r="C198" s="356" t="s">
        <v>2158</v>
      </c>
      <c r="D198" s="270"/>
      <c r="E198" s="208" t="s">
        <v>1100</v>
      </c>
      <c r="F198" s="208" t="s">
        <v>770</v>
      </c>
      <c r="G198" s="208" t="s">
        <v>13320</v>
      </c>
      <c r="H198" s="357">
        <v>0</v>
      </c>
      <c r="I198" s="358" t="s">
        <v>2470</v>
      </c>
      <c r="J198" s="358" t="s">
        <v>13708</v>
      </c>
      <c r="K198" s="359"/>
      <c r="L198" s="359"/>
      <c r="M198" s="359"/>
      <c r="N198" s="359"/>
      <c r="O198" s="359"/>
      <c r="P198" s="360" t="s">
        <v>489</v>
      </c>
      <c r="Q198" s="361" t="s">
        <v>15768</v>
      </c>
      <c r="R198" s="208" t="str">
        <f ca="1">IF(ISERROR($V198),"",OFFSET('Smelter Look-up'!$C$4,$V198-4,0)&amp;"")</f>
        <v>Gejiu Non-Ferrous Metal Processing Co., Ltd.</v>
      </c>
      <c r="S198" s="215" t="str">
        <f t="shared" ref="S198:S229" ca="1" si="30">IF(B198="","",IF(ISERROR(MATCH($E198,CL,0)),"Unknown",INDIRECT("'C'!$A$"&amp;MATCH($E198,CL,0)+1)))</f>
        <v>CN</v>
      </c>
      <c r="T198" s="215" t="str">
        <f ca="1">IF(B198="","",IF(ISERROR(MATCH($J198,SorP!$B$1:$B$6230,0)),"",INDIRECT("'SorP'!$A$"&amp;MATCH($J198,SorP!$B$1:$B$6230,0))))</f>
        <v>CN-YN</v>
      </c>
      <c r="U198" s="231"/>
      <c r="V198" s="262">
        <f>IF(C198="",NA(),IF(OR(C198="Smelter not listed",C198="Smelter not yet identified"),MATCH($B198&amp;$D198,'Smelter Look-up'!$J:$J,0),MATCH($B198&amp;$C198,'Smelter Look-up'!$J:$J,0)))</f>
        <v>433</v>
      </c>
      <c r="W198" s="263"/>
      <c r="X198" s="263">
        <f t="shared" ref="X198:X229" si="31">IF(AND(C198="Smelter not listed",OR(LEN(D198)=0,LEN(E198)=0)),1,0)</f>
        <v>0</v>
      </c>
      <c r="Y198" s="263"/>
      <c r="Z198" s="263"/>
      <c r="AB198" s="265" t="str">
        <f t="shared" ref="AB198:AB229" si="32">B198&amp;C198</f>
        <v>TinGejiu Non-Ferrous Metal Processing Co., Ltd.</v>
      </c>
    </row>
    <row r="199" spans="1:28" s="264" customFormat="1" ht="102">
      <c r="A199" s="207" t="s">
        <v>1813</v>
      </c>
      <c r="B199" s="208" t="s">
        <v>1131</v>
      </c>
      <c r="C199" s="356" t="s">
        <v>1812</v>
      </c>
      <c r="D199" s="270"/>
      <c r="E199" s="208" t="s">
        <v>1100</v>
      </c>
      <c r="F199" s="208" t="s">
        <v>1813</v>
      </c>
      <c r="G199" s="208" t="s">
        <v>13320</v>
      </c>
      <c r="H199" s="357">
        <v>0</v>
      </c>
      <c r="I199" s="358" t="s">
        <v>2470</v>
      </c>
      <c r="J199" s="358" t="s">
        <v>13708</v>
      </c>
      <c r="K199" s="359"/>
      <c r="L199" s="359"/>
      <c r="M199" s="359"/>
      <c r="N199" s="359" t="s">
        <v>15769</v>
      </c>
      <c r="O199" s="359" t="s">
        <v>15769</v>
      </c>
      <c r="P199" s="360" t="s">
        <v>489</v>
      </c>
      <c r="Q199" s="361" t="s">
        <v>15768</v>
      </c>
      <c r="R199" s="208" t="str">
        <f ca="1">IF(ISERROR($V199),"",OFFSET('Smelter Look-up'!$C$4,$V199-4,0)&amp;"")</f>
        <v>Gejiu Yunxin Nonferrous Electrolysis Co., Ltd.</v>
      </c>
      <c r="S199" s="215" t="str">
        <f t="shared" ca="1" si="30"/>
        <v>CN</v>
      </c>
      <c r="T199" s="215" t="str">
        <f ca="1">IF(B199="","",IF(ISERROR(MATCH($J199,SorP!$B$1:$B$6230,0)),"",INDIRECT("'SorP'!$A$"&amp;MATCH($J199,SorP!$B$1:$B$6230,0))))</f>
        <v>CN-YN</v>
      </c>
      <c r="U199" s="231"/>
      <c r="V199" s="262">
        <f>IF(C199="",NA(),IF(OR(C199="Smelter not listed",C199="Smelter not yet identified"),MATCH($B199&amp;$D199,'Smelter Look-up'!$J:$J,0),MATCH($B199&amp;$C199,'Smelter Look-up'!$J:$J,0)))</f>
        <v>434</v>
      </c>
      <c r="W199" s="263"/>
      <c r="X199" s="263">
        <f t="shared" si="31"/>
        <v>0</v>
      </c>
      <c r="Y199" s="263"/>
      <c r="Z199" s="263"/>
      <c r="AB199" s="265" t="str">
        <f t="shared" si="32"/>
        <v>TinGejiu Yunxin Nonferrous Electrolysis Co., Ltd.</v>
      </c>
    </row>
    <row r="200" spans="1:28" s="264" customFormat="1" ht="89.25">
      <c r="A200" s="207" t="s">
        <v>771</v>
      </c>
      <c r="B200" s="208" t="s">
        <v>1131</v>
      </c>
      <c r="C200" s="356" t="s">
        <v>1785</v>
      </c>
      <c r="D200" s="270"/>
      <c r="E200" s="208" t="s">
        <v>1100</v>
      </c>
      <c r="F200" s="208" t="s">
        <v>771</v>
      </c>
      <c r="G200" s="208" t="s">
        <v>13320</v>
      </c>
      <c r="H200" s="357">
        <v>0</v>
      </c>
      <c r="I200" s="358" t="s">
        <v>2470</v>
      </c>
      <c r="J200" s="358" t="s">
        <v>13708</v>
      </c>
      <c r="K200" s="359"/>
      <c r="L200" s="359"/>
      <c r="M200" s="359"/>
      <c r="N200" s="359"/>
      <c r="O200" s="359"/>
      <c r="P200" s="360" t="s">
        <v>489</v>
      </c>
      <c r="Q200" s="361" t="s">
        <v>15768</v>
      </c>
      <c r="R200" s="208" t="str">
        <f ca="1">IF(ISERROR($V200),"",OFFSET('Smelter Look-up'!$C$4,$V200-4,0)&amp;"")</f>
        <v>Gejiu Zili Mining And Metallurgy Co., Ltd.</v>
      </c>
      <c r="S200" s="215" t="str">
        <f t="shared" ca="1" si="30"/>
        <v>CN</v>
      </c>
      <c r="T200" s="215" t="str">
        <f ca="1">IF(B200="","",IF(ISERROR(MATCH($J200,SorP!$B$1:$B$6230,0)),"",INDIRECT("'SorP'!$A$"&amp;MATCH($J200,SorP!$B$1:$B$6230,0))))</f>
        <v>CN-YN</v>
      </c>
      <c r="U200" s="231"/>
      <c r="V200" s="262">
        <f>IF(C200="",NA(),IF(OR(C200="Smelter not listed",C200="Smelter not yet identified"),MATCH($B200&amp;$D200,'Smelter Look-up'!$J:$J,0),MATCH($B200&amp;$C200,'Smelter Look-up'!$J:$J,0)))</f>
        <v>436</v>
      </c>
      <c r="W200" s="263"/>
      <c r="X200" s="263">
        <f t="shared" si="31"/>
        <v>0</v>
      </c>
      <c r="Y200" s="263"/>
      <c r="Z200" s="263"/>
      <c r="AB200" s="265" t="str">
        <f t="shared" si="32"/>
        <v>TinGejiu Zili Mining And Metallurgy Co., Ltd.</v>
      </c>
    </row>
    <row r="201" spans="1:28" s="264" customFormat="1" ht="102">
      <c r="A201" s="207" t="s">
        <v>2553</v>
      </c>
      <c r="B201" s="208" t="s">
        <v>1131</v>
      </c>
      <c r="C201" s="356" t="s">
        <v>2552</v>
      </c>
      <c r="D201" s="270"/>
      <c r="E201" s="208" t="s">
        <v>1100</v>
      </c>
      <c r="F201" s="208" t="s">
        <v>2553</v>
      </c>
      <c r="G201" s="208" t="s">
        <v>13320</v>
      </c>
      <c r="H201" s="357">
        <v>0</v>
      </c>
      <c r="I201" s="358" t="s">
        <v>1838</v>
      </c>
      <c r="J201" s="358" t="s">
        <v>13704</v>
      </c>
      <c r="K201" s="359"/>
      <c r="L201" s="359"/>
      <c r="M201" s="359"/>
      <c r="N201" s="359" t="s">
        <v>15769</v>
      </c>
      <c r="O201" s="359" t="s">
        <v>15769</v>
      </c>
      <c r="P201" s="360" t="s">
        <v>489</v>
      </c>
      <c r="Q201" s="361" t="s">
        <v>15768</v>
      </c>
      <c r="R201" s="208" t="str">
        <f ca="1">IF(ISERROR($V201),"",OFFSET('Smelter Look-up'!$C$4,$V201-4,0)&amp;"")</f>
        <v>Guangdong Hanhe Non-Ferrous Metal Co., Ltd.</v>
      </c>
      <c r="S201" s="215" t="str">
        <f t="shared" ca="1" si="30"/>
        <v>CN</v>
      </c>
      <c r="T201" s="215" t="str">
        <f ca="1">IF(B201="","",IF(ISERROR(MATCH($J201,SorP!$B$1:$B$6230,0)),"",INDIRECT("'SorP'!$A$"&amp;MATCH($J201,SorP!$B$1:$B$6230,0))))</f>
        <v>CN-GD</v>
      </c>
      <c r="U201" s="231"/>
      <c r="V201" s="262">
        <f>IF(C201="",NA(),IF(OR(C201="Smelter not listed",C201="Smelter not yet identified"),MATCH($B201&amp;$D201,'Smelter Look-up'!$J:$J,0),MATCH($B201&amp;$C201,'Smelter Look-up'!$J:$J,0)))</f>
        <v>439</v>
      </c>
      <c r="W201" s="263"/>
      <c r="X201" s="263">
        <f t="shared" si="31"/>
        <v>0</v>
      </c>
      <c r="Y201" s="263"/>
      <c r="Z201" s="263"/>
      <c r="AB201" s="265" t="str">
        <f t="shared" si="32"/>
        <v>TinGuangdong Hanhe Non-Ferrous Metal Co., Ltd.</v>
      </c>
    </row>
    <row r="202" spans="1:28" s="264" customFormat="1" ht="63.75">
      <c r="A202" s="207" t="s">
        <v>1801</v>
      </c>
      <c r="B202" s="208" t="s">
        <v>1131</v>
      </c>
      <c r="C202" s="356" t="s">
        <v>13261</v>
      </c>
      <c r="D202" s="270"/>
      <c r="E202" s="208" t="s">
        <v>1100</v>
      </c>
      <c r="F202" s="208" t="s">
        <v>1801</v>
      </c>
      <c r="G202" s="208" t="s">
        <v>13320</v>
      </c>
      <c r="H202" s="357">
        <v>0</v>
      </c>
      <c r="I202" s="358" t="s">
        <v>1786</v>
      </c>
      <c r="J202" s="358" t="s">
        <v>13699</v>
      </c>
      <c r="K202" s="359"/>
      <c r="L202" s="359"/>
      <c r="M202" s="359"/>
      <c r="N202" s="359" t="s">
        <v>15769</v>
      </c>
      <c r="O202" s="359" t="s">
        <v>15769</v>
      </c>
      <c r="P202" s="360" t="s">
        <v>489</v>
      </c>
      <c r="Q202" s="361" t="s">
        <v>15768</v>
      </c>
      <c r="R202" s="208" t="str">
        <f ca="1">IF(ISERROR($V202),"",OFFSET('Smelter Look-up'!$C$4,$V202-4,0)&amp;"")</f>
        <v>Jiangxi New Nanshan Technology Ltd.</v>
      </c>
      <c r="S202" s="215" t="str">
        <f t="shared" ca="1" si="30"/>
        <v>CN</v>
      </c>
      <c r="T202" s="215" t="str">
        <f ca="1">IF(B202="","",IF(ISERROR(MATCH($J202,SorP!$B$1:$B$6230,0)),"",INDIRECT("'SorP'!$A$"&amp;MATCH($J202,SorP!$B$1:$B$6230,0))))</f>
        <v>CN-JX</v>
      </c>
      <c r="U202" s="231"/>
      <c r="V202" s="262">
        <f>IF(C202="",NA(),IF(OR(C202="Smelter not listed",C202="Smelter not yet identified"),MATCH($B202&amp;$D202,'Smelter Look-up'!$J:$J,0),MATCH($B202&amp;$C202,'Smelter Look-up'!$J:$J,0)))</f>
        <v>448</v>
      </c>
      <c r="W202" s="263"/>
      <c r="X202" s="263">
        <f t="shared" si="31"/>
        <v>0</v>
      </c>
      <c r="Y202" s="263"/>
      <c r="Z202" s="263"/>
      <c r="AB202" s="265" t="str">
        <f t="shared" si="32"/>
        <v>TinJiangxi New Nanshan Technology Ltd.</v>
      </c>
    </row>
    <row r="203" spans="1:28" s="264" customFormat="1" ht="51">
      <c r="A203" s="207" t="s">
        <v>804</v>
      </c>
      <c r="B203" s="208" t="s">
        <v>1131</v>
      </c>
      <c r="C203" s="356" t="s">
        <v>13882</v>
      </c>
      <c r="D203" s="270"/>
      <c r="E203" s="208" t="s">
        <v>1105</v>
      </c>
      <c r="F203" s="208" t="s">
        <v>804</v>
      </c>
      <c r="G203" s="208" t="s">
        <v>13320</v>
      </c>
      <c r="H203" s="357">
        <v>0</v>
      </c>
      <c r="I203" s="358" t="s">
        <v>1805</v>
      </c>
      <c r="J203" s="358" t="s">
        <v>6100</v>
      </c>
      <c r="K203" s="359"/>
      <c r="L203" s="359"/>
      <c r="M203" s="359"/>
      <c r="N203" s="359"/>
      <c r="O203" s="359"/>
      <c r="P203" s="360" t="s">
        <v>489</v>
      </c>
      <c r="Q203" s="361" t="s">
        <v>15768</v>
      </c>
      <c r="R203" s="208" t="str">
        <f ca="1">IF(ISERROR($V203),"",OFFSET('Smelter Look-up'!$C$4,$V203-4,0)&amp;"")</f>
        <v>PT Timah Tbk Kundur</v>
      </c>
      <c r="S203" s="215" t="str">
        <f t="shared" ca="1" si="30"/>
        <v>ID</v>
      </c>
      <c r="T203" s="215" t="str">
        <f ca="1">IF(B203="","",IF(ISERROR(MATCH($J203,SorP!$B$1:$B$6230,0)),"",INDIRECT("'SorP'!$A$"&amp;MATCH($J203,SorP!$B$1:$B$6230,0))))</f>
        <v>ID-RI</v>
      </c>
      <c r="U203" s="231"/>
      <c r="V203" s="262">
        <f>IF(C203="",NA(),IF(OR(C203="Smelter not listed",C203="Smelter not yet identified"),MATCH($B203&amp;$D203,'Smelter Look-up'!$J:$J,0),MATCH($B203&amp;$C203,'Smelter Look-up'!$J:$J,0)))</f>
        <v>508</v>
      </c>
      <c r="W203" s="263"/>
      <c r="X203" s="263">
        <f t="shared" si="31"/>
        <v>0</v>
      </c>
      <c r="Y203" s="263"/>
      <c r="Z203" s="263"/>
      <c r="AB203" s="265" t="str">
        <f t="shared" si="32"/>
        <v>TinPT Timah Tbk Kundur</v>
      </c>
    </row>
    <row r="204" spans="1:28" s="264" customFormat="1" ht="63.75">
      <c r="A204" s="207" t="s">
        <v>13884</v>
      </c>
      <c r="B204" s="208" t="s">
        <v>1131</v>
      </c>
      <c r="C204" s="356" t="s">
        <v>13883</v>
      </c>
      <c r="D204" s="270"/>
      <c r="E204" s="208" t="s">
        <v>1100</v>
      </c>
      <c r="F204" s="208" t="s">
        <v>13884</v>
      </c>
      <c r="G204" s="208" t="s">
        <v>13320</v>
      </c>
      <c r="H204" s="357">
        <v>0</v>
      </c>
      <c r="I204" s="358" t="s">
        <v>13922</v>
      </c>
      <c r="J204" s="358" t="s">
        <v>13697</v>
      </c>
      <c r="K204" s="359"/>
      <c r="L204" s="359"/>
      <c r="M204" s="359"/>
      <c r="N204" s="359" t="s">
        <v>15770</v>
      </c>
      <c r="O204" s="359" t="s">
        <v>15770</v>
      </c>
      <c r="P204" s="360" t="s">
        <v>488</v>
      </c>
      <c r="Q204" s="361" t="s">
        <v>15768</v>
      </c>
      <c r="R204" s="208" t="str">
        <f ca="1">IF(ISERROR($V204),"",OFFSET('Smelter Look-up'!$C$4,$V204-4,0)&amp;"")</f>
        <v>Ma'anshan Weitai Tin Co., Ltd.</v>
      </c>
      <c r="S204" s="215" t="str">
        <f t="shared" ca="1" si="30"/>
        <v>CN</v>
      </c>
      <c r="T204" s="215" t="str">
        <f ca="1">IF(B204="","",IF(ISERROR(MATCH($J204,SorP!$B$1:$B$6230,0)),"",INDIRECT("'SorP'!$A$"&amp;MATCH($J204,SorP!$B$1:$B$6230,0))))</f>
        <v>CN-AH</v>
      </c>
      <c r="U204" s="231"/>
      <c r="V204" s="262">
        <f>IF(C204="",NA(),IF(OR(C204="Smelter not listed",C204="Smelter not yet identified"),MATCH($B204&amp;$D204,'Smelter Look-up'!$J:$J,0),MATCH($B204&amp;$C204,'Smelter Look-up'!$J:$J,0)))</f>
        <v>455</v>
      </c>
      <c r="W204" s="263"/>
      <c r="X204" s="263">
        <f t="shared" si="31"/>
        <v>0</v>
      </c>
      <c r="Y204" s="263"/>
      <c r="Z204" s="263"/>
      <c r="AB204" s="265" t="str">
        <f t="shared" si="32"/>
        <v>TinMa'anshan Weitai Tin Co., Ltd.</v>
      </c>
    </row>
    <row r="205" spans="1:28" s="264" customFormat="1" ht="76.5">
      <c r="A205" s="207" t="s">
        <v>139</v>
      </c>
      <c r="B205" s="208" t="s">
        <v>1131</v>
      </c>
      <c r="C205" s="356" t="s">
        <v>2182</v>
      </c>
      <c r="D205" s="270"/>
      <c r="E205" s="208" t="s">
        <v>1096</v>
      </c>
      <c r="F205" s="208" t="s">
        <v>139</v>
      </c>
      <c r="G205" s="208" t="s">
        <v>13320</v>
      </c>
      <c r="H205" s="357">
        <v>0</v>
      </c>
      <c r="I205" s="358" t="s">
        <v>1731</v>
      </c>
      <c r="J205" s="358" t="s">
        <v>1554</v>
      </c>
      <c r="K205" s="359"/>
      <c r="L205" s="359"/>
      <c r="M205" s="359"/>
      <c r="N205" s="359" t="s">
        <v>15769</v>
      </c>
      <c r="O205" s="359" t="s">
        <v>15769</v>
      </c>
      <c r="P205" s="360" t="s">
        <v>489</v>
      </c>
      <c r="Q205" s="361" t="s">
        <v>15768</v>
      </c>
      <c r="R205" s="208" t="str">
        <f ca="1">IF(ISERROR($V205),"",OFFSET('Smelter Look-up'!$C$4,$V205-4,0)&amp;"")</f>
        <v>Magnu's Minerais Metais e Ligas Ltda.</v>
      </c>
      <c r="S205" s="215" t="str">
        <f t="shared" ca="1" si="30"/>
        <v>BR</v>
      </c>
      <c r="T205" s="215" t="str">
        <f ca="1">IF(B205="","",IF(ISERROR(MATCH($J205,SorP!$B$1:$B$6230,0)),"",INDIRECT("'SorP'!$A$"&amp;MATCH($J205,SorP!$B$1:$B$6230,0))))</f>
        <v>BR-MG</v>
      </c>
      <c r="U205" s="231"/>
      <c r="V205" s="262">
        <f>IF(C205="",NA(),IF(OR(C205="Smelter not listed",C205="Smelter not yet identified"),MATCH($B205&amp;$D205,'Smelter Look-up'!$J:$J,0),MATCH($B205&amp;$C205,'Smelter Look-up'!$J:$J,0)))</f>
        <v>456</v>
      </c>
      <c r="W205" s="263"/>
      <c r="X205" s="263">
        <f t="shared" si="31"/>
        <v>0</v>
      </c>
      <c r="Y205" s="263"/>
      <c r="Z205" s="263"/>
      <c r="AB205" s="265" t="str">
        <f t="shared" si="32"/>
        <v>TinMagnu's Minerais Metais e Ligas Ltda.</v>
      </c>
    </row>
    <row r="206" spans="1:28" s="264" customFormat="1" ht="76.5">
      <c r="A206" s="207" t="s">
        <v>774</v>
      </c>
      <c r="B206" s="208" t="s">
        <v>1131</v>
      </c>
      <c r="C206" s="356" t="s">
        <v>821</v>
      </c>
      <c r="D206" s="270"/>
      <c r="E206" s="208" t="s">
        <v>1115</v>
      </c>
      <c r="F206" s="208" t="s">
        <v>774</v>
      </c>
      <c r="G206" s="208" t="s">
        <v>13320</v>
      </c>
      <c r="H206" s="357">
        <v>0</v>
      </c>
      <c r="I206" s="358" t="s">
        <v>1793</v>
      </c>
      <c r="J206" s="358" t="s">
        <v>8739</v>
      </c>
      <c r="K206" s="359"/>
      <c r="L206" s="359"/>
      <c r="M206" s="359"/>
      <c r="N206" s="359" t="s">
        <v>15774</v>
      </c>
      <c r="O206" s="359" t="s">
        <v>15774</v>
      </c>
      <c r="P206" s="360" t="s">
        <v>489</v>
      </c>
      <c r="Q206" s="361" t="s">
        <v>15768</v>
      </c>
      <c r="R206" s="208" t="str">
        <f ca="1">IF(ISERROR($V206),"",OFFSET('Smelter Look-up'!$C$4,$V206-4,0)&amp;"")</f>
        <v>Malaysia Smelting Corporation (MSC)</v>
      </c>
      <c r="S206" s="215" t="str">
        <f t="shared" ca="1" si="30"/>
        <v>MY</v>
      </c>
      <c r="T206" s="215" t="str">
        <f ca="1">IF(B206="","",IF(ISERROR(MATCH($J206,SorP!$B$1:$B$6230,0)),"",INDIRECT("'SorP'!$A$"&amp;MATCH($J206,SorP!$B$1:$B$6230,0))))</f>
        <v>MY-07</v>
      </c>
      <c r="U206" s="231"/>
      <c r="V206" s="262">
        <f>IF(C206="",NA(),IF(OR(C206="Smelter not listed",C206="Smelter not yet identified"),MATCH($B206&amp;$D206,'Smelter Look-up'!$J:$J,0),MATCH($B206&amp;$C206,'Smelter Look-up'!$J:$J,0)))</f>
        <v>457</v>
      </c>
      <c r="W206" s="263"/>
      <c r="X206" s="263">
        <f t="shared" si="31"/>
        <v>0</v>
      </c>
      <c r="Y206" s="263"/>
      <c r="Z206" s="263"/>
      <c r="AB206" s="265" t="str">
        <f t="shared" si="32"/>
        <v>TinMalaysia Smelting Corporation (MSC)</v>
      </c>
    </row>
    <row r="207" spans="1:28" s="264" customFormat="1" ht="51">
      <c r="A207" s="207" t="s">
        <v>1794</v>
      </c>
      <c r="B207" s="208" t="s">
        <v>1131</v>
      </c>
      <c r="C207" s="356" t="s">
        <v>2163</v>
      </c>
      <c r="D207" s="270"/>
      <c r="E207" s="208" t="s">
        <v>2456</v>
      </c>
      <c r="F207" s="208" t="s">
        <v>1794</v>
      </c>
      <c r="G207" s="208" t="s">
        <v>13320</v>
      </c>
      <c r="H207" s="357">
        <v>0</v>
      </c>
      <c r="I207" s="358" t="s">
        <v>1795</v>
      </c>
      <c r="J207" s="358" t="s">
        <v>1642</v>
      </c>
      <c r="K207" s="359"/>
      <c r="L207" s="359"/>
      <c r="M207" s="359"/>
      <c r="N207" s="359" t="s">
        <v>15769</v>
      </c>
      <c r="O207" s="359" t="s">
        <v>15769</v>
      </c>
      <c r="P207" s="360" t="s">
        <v>489</v>
      </c>
      <c r="Q207" s="361" t="s">
        <v>15768</v>
      </c>
      <c r="R207" s="208" t="str">
        <f ca="1">IF(ISERROR($V207),"",OFFSET('Smelter Look-up'!$C$4,$V207-4,0)&amp;"")</f>
        <v>Metallic Resources, Inc.</v>
      </c>
      <c r="S207" s="215" t="str">
        <f t="shared" ca="1" si="30"/>
        <v>US</v>
      </c>
      <c r="T207" s="215" t="str">
        <f ca="1">IF(B207="","",IF(ISERROR(MATCH($J207,SorP!$B$1:$B$6230,0)),"",INDIRECT("'SorP'!$A$"&amp;MATCH($J207,SorP!$B$1:$B$6230,0))))</f>
        <v>US-OH</v>
      </c>
      <c r="U207" s="231"/>
      <c r="V207" s="262">
        <f>IF(C207="",NA(),IF(OR(C207="Smelter not listed",C207="Smelter not yet identified"),MATCH($B207&amp;$D207,'Smelter Look-up'!$J:$J,0),MATCH($B207&amp;$C207,'Smelter Look-up'!$J:$J,0)))</f>
        <v>461</v>
      </c>
      <c r="W207" s="263"/>
      <c r="X207" s="263">
        <f t="shared" si="31"/>
        <v>0</v>
      </c>
      <c r="Y207" s="263"/>
      <c r="Z207" s="263"/>
      <c r="AB207" s="265" t="str">
        <f t="shared" si="32"/>
        <v>TinMetallic Resources, Inc.</v>
      </c>
    </row>
    <row r="208" spans="1:28" s="264" customFormat="1" ht="51">
      <c r="A208" s="207" t="s">
        <v>1829</v>
      </c>
      <c r="B208" s="208" t="s">
        <v>1131</v>
      </c>
      <c r="C208" s="356" t="s">
        <v>13012</v>
      </c>
      <c r="D208" s="270"/>
      <c r="E208" s="208" t="s">
        <v>1095</v>
      </c>
      <c r="F208" s="208" t="s">
        <v>1829</v>
      </c>
      <c r="G208" s="208" t="s">
        <v>13320</v>
      </c>
      <c r="H208" s="357">
        <v>0</v>
      </c>
      <c r="I208" s="358" t="s">
        <v>1830</v>
      </c>
      <c r="J208" s="358" t="s">
        <v>3177</v>
      </c>
      <c r="K208" s="359"/>
      <c r="L208" s="359"/>
      <c r="M208" s="359"/>
      <c r="N208" s="359" t="s">
        <v>15774</v>
      </c>
      <c r="O208" s="359" t="s">
        <v>15774</v>
      </c>
      <c r="P208" s="360" t="s">
        <v>489</v>
      </c>
      <c r="Q208" s="361" t="s">
        <v>15768</v>
      </c>
      <c r="R208" s="208" t="str">
        <f ca="1">IF(ISERROR($V208),"",OFFSET('Smelter Look-up'!$C$4,$V208-4,0)&amp;"")</f>
        <v>Metallo Belgium N.V.</v>
      </c>
      <c r="S208" s="215" t="str">
        <f t="shared" ca="1" si="30"/>
        <v>BE</v>
      </c>
      <c r="T208" s="215" t="str">
        <f ca="1">IF(B208="","",IF(ISERROR(MATCH($J208,SorP!$B$1:$B$6230,0)),"",INDIRECT("'SorP'!$A$"&amp;MATCH($J208,SorP!$B$1:$B$6230,0))))</f>
        <v>BE-VAN</v>
      </c>
      <c r="U208" s="231"/>
      <c r="V208" s="262">
        <f>IF(C208="",NA(),IF(OR(C208="Smelter not listed",C208="Smelter not yet identified"),MATCH($B208&amp;$D208,'Smelter Look-up'!$J:$J,0),MATCH($B208&amp;$C208,'Smelter Look-up'!$J:$J,0)))</f>
        <v>462</v>
      </c>
      <c r="W208" s="263"/>
      <c r="X208" s="263">
        <f t="shared" si="31"/>
        <v>0</v>
      </c>
      <c r="Y208" s="263"/>
      <c r="Z208" s="263"/>
      <c r="AB208" s="265" t="str">
        <f t="shared" si="32"/>
        <v>TinMetallo Belgium N.V.</v>
      </c>
    </row>
    <row r="209" spans="1:28" s="264" customFormat="1" ht="38.25">
      <c r="A209" s="207" t="s">
        <v>1831</v>
      </c>
      <c r="B209" s="208" t="s">
        <v>1131</v>
      </c>
      <c r="C209" s="356" t="s">
        <v>13013</v>
      </c>
      <c r="D209" s="270"/>
      <c r="E209" s="208" t="s">
        <v>1102</v>
      </c>
      <c r="F209" s="208" t="s">
        <v>1831</v>
      </c>
      <c r="G209" s="208" t="s">
        <v>13320</v>
      </c>
      <c r="H209" s="357">
        <v>0</v>
      </c>
      <c r="I209" s="358" t="s">
        <v>1832</v>
      </c>
      <c r="J209" s="358" t="s">
        <v>12491</v>
      </c>
      <c r="K209" s="359"/>
      <c r="L209" s="359"/>
      <c r="M209" s="359"/>
      <c r="N209" s="359" t="s">
        <v>15774</v>
      </c>
      <c r="O209" s="359" t="s">
        <v>15774</v>
      </c>
      <c r="P209" s="360" t="s">
        <v>489</v>
      </c>
      <c r="Q209" s="361" t="s">
        <v>15768</v>
      </c>
      <c r="R209" s="208" t="str">
        <f ca="1">IF(ISERROR($V209),"",OFFSET('Smelter Look-up'!$C$4,$V209-4,0)&amp;"")</f>
        <v>Metallo Spain S.L.U.</v>
      </c>
      <c r="S209" s="215" t="str">
        <f t="shared" ca="1" si="30"/>
        <v>ES</v>
      </c>
      <c r="T209" s="215" t="str">
        <f ca="1">IF(B209="","",IF(ISERROR(MATCH($J209,SorP!$B$1:$B$6230,0)),"",INDIRECT("'SorP'!$A$"&amp;MATCH($J209,SorP!$B$1:$B$6230,0))))</f>
        <v>ES-BI</v>
      </c>
      <c r="U209" s="231"/>
      <c r="V209" s="262">
        <f>IF(C209="",NA(),IF(OR(C209="Smelter not listed",C209="Smelter not yet identified"),MATCH($B209&amp;$D209,'Smelter Look-up'!$J:$J,0),MATCH($B209&amp;$C209,'Smelter Look-up'!$J:$J,0)))</f>
        <v>463</v>
      </c>
      <c r="W209" s="263"/>
      <c r="X209" s="263">
        <f t="shared" si="31"/>
        <v>0</v>
      </c>
      <c r="Y209" s="263"/>
      <c r="Z209" s="263"/>
      <c r="AB209" s="265" t="str">
        <f t="shared" si="32"/>
        <v>TinMetallo Spain S.L.U.</v>
      </c>
    </row>
    <row r="210" spans="1:28" s="264" customFormat="1" ht="51">
      <c r="A210" s="207" t="s">
        <v>775</v>
      </c>
      <c r="B210" s="208" t="s">
        <v>1131</v>
      </c>
      <c r="C210" s="356" t="s">
        <v>12509</v>
      </c>
      <c r="D210" s="270"/>
      <c r="E210" s="208" t="s">
        <v>1096</v>
      </c>
      <c r="F210" s="208" t="s">
        <v>775</v>
      </c>
      <c r="G210" s="208" t="s">
        <v>13320</v>
      </c>
      <c r="H210" s="357">
        <v>0</v>
      </c>
      <c r="I210" s="358" t="s">
        <v>1796</v>
      </c>
      <c r="J210" s="358" t="s">
        <v>1682</v>
      </c>
      <c r="K210" s="359"/>
      <c r="L210" s="359"/>
      <c r="M210" s="359"/>
      <c r="N210" s="359"/>
      <c r="O210" s="359"/>
      <c r="P210" s="360" t="s">
        <v>489</v>
      </c>
      <c r="Q210" s="361" t="s">
        <v>15768</v>
      </c>
      <c r="R210" s="208" t="str">
        <f ca="1">IF(ISERROR($V210),"",OFFSET('Smelter Look-up'!$C$4,$V210-4,0)&amp;"")</f>
        <v>Mineracao Taboca S.A.</v>
      </c>
      <c r="S210" s="215" t="str">
        <f t="shared" ca="1" si="30"/>
        <v>BR</v>
      </c>
      <c r="T210" s="215" t="str">
        <f ca="1">IF(B210="","",IF(ISERROR(MATCH($J210,SorP!$B$1:$B$6230,0)),"",INDIRECT("'SorP'!$A$"&amp;MATCH($J210,SorP!$B$1:$B$6230,0))))</f>
        <v>BR-SP</v>
      </c>
      <c r="U210" s="231"/>
      <c r="V210" s="262">
        <f>IF(C210="",NA(),IF(OR(C210="Smelter not listed",C210="Smelter not yet identified"),MATCH($B210&amp;$D210,'Smelter Look-up'!$J:$J,0),MATCH($B210&amp;$C210,'Smelter Look-up'!$J:$J,0)))</f>
        <v>464</v>
      </c>
      <c r="W210" s="263"/>
      <c r="X210" s="263">
        <f t="shared" si="31"/>
        <v>0</v>
      </c>
      <c r="Y210" s="263"/>
      <c r="Z210" s="263"/>
      <c r="AB210" s="265" t="str">
        <f t="shared" si="32"/>
        <v>TinMineracao Taboca S.A.</v>
      </c>
    </row>
    <row r="211" spans="1:28" s="264" customFormat="1" ht="25.5">
      <c r="A211" s="207" t="s">
        <v>776</v>
      </c>
      <c r="B211" s="208" t="s">
        <v>1131</v>
      </c>
      <c r="C211" s="356" t="s">
        <v>1034</v>
      </c>
      <c r="D211" s="270"/>
      <c r="E211" s="208" t="s">
        <v>880</v>
      </c>
      <c r="F211" s="208" t="s">
        <v>776</v>
      </c>
      <c r="G211" s="208" t="s">
        <v>13320</v>
      </c>
      <c r="H211" s="357">
        <v>0</v>
      </c>
      <c r="I211" s="358" t="s">
        <v>1798</v>
      </c>
      <c r="J211" s="358" t="s">
        <v>9194</v>
      </c>
      <c r="K211" s="359"/>
      <c r="L211" s="359"/>
      <c r="M211" s="359"/>
      <c r="N211" s="359"/>
      <c r="O211" s="359"/>
      <c r="P211" s="360" t="s">
        <v>489</v>
      </c>
      <c r="Q211" s="361" t="s">
        <v>15768</v>
      </c>
      <c r="R211" s="208" t="str">
        <f ca="1">IF(ISERROR($V211),"",OFFSET('Smelter Look-up'!$C$4,$V211-4,0)&amp;"")</f>
        <v>Minsur</v>
      </c>
      <c r="S211" s="215" t="str">
        <f t="shared" ca="1" si="30"/>
        <v>PE</v>
      </c>
      <c r="T211" s="215" t="str">
        <f ca="1">IF(B211="","",IF(ISERROR(MATCH($J211,SorP!$B$1:$B$6230,0)),"",INDIRECT("'SorP'!$A$"&amp;MATCH($J211,SorP!$B$1:$B$6230,0))))</f>
        <v>PE-ICA</v>
      </c>
      <c r="U211" s="231"/>
      <c r="V211" s="262">
        <f>IF(C211="",NA(),IF(OR(C211="Smelter not listed",C211="Smelter not yet identified"),MATCH($B211&amp;$D211,'Smelter Look-up'!$J:$J,0),MATCH($B211&amp;$C211,'Smelter Look-up'!$J:$J,0)))</f>
        <v>468</v>
      </c>
      <c r="W211" s="263"/>
      <c r="X211" s="263">
        <f t="shared" si="31"/>
        <v>0</v>
      </c>
      <c r="Y211" s="263"/>
      <c r="Z211" s="263"/>
      <c r="AB211" s="265" t="str">
        <f t="shared" si="32"/>
        <v>TinMinsur</v>
      </c>
    </row>
    <row r="212" spans="1:28" s="264" customFormat="1" ht="76.5">
      <c r="A212" s="207" t="s">
        <v>777</v>
      </c>
      <c r="B212" s="208" t="s">
        <v>1131</v>
      </c>
      <c r="C212" s="356" t="s">
        <v>1164</v>
      </c>
      <c r="D212" s="270"/>
      <c r="E212" s="208" t="s">
        <v>1108</v>
      </c>
      <c r="F212" s="208" t="s">
        <v>777</v>
      </c>
      <c r="G212" s="208" t="s">
        <v>13320</v>
      </c>
      <c r="H212" s="357">
        <v>0</v>
      </c>
      <c r="I212" s="358" t="s">
        <v>15738</v>
      </c>
      <c r="J212" s="358" t="s">
        <v>1558</v>
      </c>
      <c r="K212" s="359"/>
      <c r="L212" s="359"/>
      <c r="M212" s="359"/>
      <c r="N212" s="359" t="s">
        <v>15770</v>
      </c>
      <c r="O212" s="359" t="s">
        <v>15770</v>
      </c>
      <c r="P212" s="360" t="s">
        <v>488</v>
      </c>
      <c r="Q212" s="361" t="s">
        <v>15768</v>
      </c>
      <c r="R212" s="208" t="str">
        <f ca="1">IF(ISERROR($V212),"",OFFSET('Smelter Look-up'!$C$4,$V212-4,0)&amp;"")</f>
        <v>Mitsubishi Materials Corporation</v>
      </c>
      <c r="S212" s="215" t="str">
        <f t="shared" ca="1" si="30"/>
        <v>JP</v>
      </c>
      <c r="T212" s="215" t="str">
        <f ca="1">IF(B212="","",IF(ISERROR(MATCH($J212,SorP!$B$1:$B$6230,0)),"",INDIRECT("'SorP'!$A$"&amp;MATCH($J212,SorP!$B$1:$B$6230,0))))</f>
        <v>JP-28</v>
      </c>
      <c r="U212" s="231"/>
      <c r="V212" s="262">
        <f>IF(C212="",NA(),IF(OR(C212="Smelter not listed",C212="Smelter not yet identified"),MATCH($B212&amp;$D212,'Smelter Look-up'!$J:$J,0),MATCH($B212&amp;$C212,'Smelter Look-up'!$J:$J,0)))</f>
        <v>469</v>
      </c>
      <c r="W212" s="263"/>
      <c r="X212" s="263">
        <f t="shared" si="31"/>
        <v>0</v>
      </c>
      <c r="Y212" s="263"/>
      <c r="Z212" s="263"/>
      <c r="AB212" s="265" t="str">
        <f t="shared" si="32"/>
        <v>TinMitsubishi Materials Corporation</v>
      </c>
    </row>
    <row r="213" spans="1:28" s="264" customFormat="1" ht="76.5">
      <c r="A213" s="207" t="s">
        <v>779</v>
      </c>
      <c r="B213" s="208" t="s">
        <v>1131</v>
      </c>
      <c r="C213" s="356" t="s">
        <v>778</v>
      </c>
      <c r="D213" s="270"/>
      <c r="E213" s="208" t="s">
        <v>888</v>
      </c>
      <c r="F213" s="208" t="s">
        <v>779</v>
      </c>
      <c r="G213" s="208" t="s">
        <v>13320</v>
      </c>
      <c r="H213" s="357">
        <v>0</v>
      </c>
      <c r="I213" s="358" t="s">
        <v>2363</v>
      </c>
      <c r="J213" s="358" t="s">
        <v>11104</v>
      </c>
      <c r="K213" s="359"/>
      <c r="L213" s="359"/>
      <c r="M213" s="359"/>
      <c r="N213" s="359" t="s">
        <v>15770</v>
      </c>
      <c r="O213" s="359" t="s">
        <v>15770</v>
      </c>
      <c r="P213" s="360" t="s">
        <v>488</v>
      </c>
      <c r="Q213" s="361" t="s">
        <v>15768</v>
      </c>
      <c r="R213" s="208" t="str">
        <f ca="1">IF(ISERROR($V213),"",OFFSET('Smelter Look-up'!$C$4,$V213-4,0)&amp;"")</f>
        <v>O.M. Manufacturing (Thailand) Co., Ltd.</v>
      </c>
      <c r="S213" s="215" t="str">
        <f t="shared" ca="1" si="30"/>
        <v>TH</v>
      </c>
      <c r="T213" s="215" t="str">
        <f ca="1">IF(B213="","",IF(ISERROR(MATCH($J213,SorP!$B$1:$B$6230,0)),"",INDIRECT("'SorP'!$A$"&amp;MATCH($J213,SorP!$B$1:$B$6230,0))))</f>
        <v>TH-20</v>
      </c>
      <c r="U213" s="231"/>
      <c r="V213" s="262">
        <f>IF(C213="",NA(),IF(OR(C213="Smelter not listed",C213="Smelter not yet identified"),MATCH($B213&amp;$D213,'Smelter Look-up'!$J:$J,0),MATCH($B213&amp;$C213,'Smelter Look-up'!$J:$J,0)))</f>
        <v>476</v>
      </c>
      <c r="W213" s="263"/>
      <c r="X213" s="263">
        <f t="shared" si="31"/>
        <v>0</v>
      </c>
      <c r="Y213" s="263"/>
      <c r="Z213" s="263"/>
      <c r="AB213" s="265" t="str">
        <f t="shared" si="32"/>
        <v>TinO.M. Manufacturing (Thailand) Co., Ltd.</v>
      </c>
    </row>
    <row r="214" spans="1:28" s="264" customFormat="1" ht="63.75">
      <c r="A214" s="207" t="s">
        <v>1402</v>
      </c>
      <c r="B214" s="208" t="s">
        <v>1131</v>
      </c>
      <c r="C214" s="356" t="s">
        <v>1401</v>
      </c>
      <c r="D214" s="270"/>
      <c r="E214" s="208" t="s">
        <v>881</v>
      </c>
      <c r="F214" s="208" t="s">
        <v>1402</v>
      </c>
      <c r="G214" s="208" t="s">
        <v>13320</v>
      </c>
      <c r="H214" s="357">
        <v>0</v>
      </c>
      <c r="I214" s="358" t="s">
        <v>13022</v>
      </c>
      <c r="J214" s="358" t="s">
        <v>9530</v>
      </c>
      <c r="K214" s="359"/>
      <c r="L214" s="359"/>
      <c r="M214" s="359"/>
      <c r="N214" s="359" t="s">
        <v>15770</v>
      </c>
      <c r="O214" s="359" t="s">
        <v>15770</v>
      </c>
      <c r="P214" s="360" t="s">
        <v>488</v>
      </c>
      <c r="Q214" s="361" t="s">
        <v>15768</v>
      </c>
      <c r="R214" s="208" t="str">
        <f ca="1">IF(ISERROR($V214),"",OFFSET('Smelter Look-up'!$C$4,$V214-4,0)&amp;"")</f>
        <v>O.M. Manufacturing Philippines, Inc.</v>
      </c>
      <c r="S214" s="215" t="str">
        <f t="shared" ca="1" si="30"/>
        <v>PH</v>
      </c>
      <c r="T214" s="215" t="str">
        <f ca="1">IF(B214="","",IF(ISERROR(MATCH($J214,SorP!$B$1:$B$6230,0)),"",INDIRECT("'SorP'!$A$"&amp;MATCH($J214,SorP!$B$1:$B$6230,0))))</f>
        <v>PH-CAV</v>
      </c>
      <c r="U214" s="231"/>
      <c r="V214" s="262">
        <f>IF(C214="",NA(),IF(OR(C214="Smelter not listed",C214="Smelter not yet identified"),MATCH($B214&amp;$D214,'Smelter Look-up'!$J:$J,0),MATCH($B214&amp;$C214,'Smelter Look-up'!$J:$J,0)))</f>
        <v>477</v>
      </c>
      <c r="W214" s="263"/>
      <c r="X214" s="263">
        <f t="shared" si="31"/>
        <v>0</v>
      </c>
      <c r="Y214" s="263"/>
      <c r="Z214" s="263"/>
      <c r="AB214" s="265" t="str">
        <f t="shared" si="32"/>
        <v>TinO.M. Manufacturing Philippines, Inc.</v>
      </c>
    </row>
    <row r="215" spans="1:28" s="264" customFormat="1" ht="63.75">
      <c r="A215" s="207" t="s">
        <v>780</v>
      </c>
      <c r="B215" s="208" t="s">
        <v>1131</v>
      </c>
      <c r="C215" s="356" t="s">
        <v>13885</v>
      </c>
      <c r="D215" s="270"/>
      <c r="E215" s="208" t="s">
        <v>2454</v>
      </c>
      <c r="F215" s="208" t="s">
        <v>780</v>
      </c>
      <c r="G215" s="208" t="s">
        <v>13320</v>
      </c>
      <c r="H215" s="357">
        <v>0</v>
      </c>
      <c r="I215" s="358" t="s">
        <v>1781</v>
      </c>
      <c r="J215" s="358" t="s">
        <v>1781</v>
      </c>
      <c r="K215" s="359"/>
      <c r="L215" s="359"/>
      <c r="M215" s="359"/>
      <c r="N215" s="359"/>
      <c r="O215" s="359"/>
      <c r="P215" s="360" t="s">
        <v>489</v>
      </c>
      <c r="Q215" s="361" t="s">
        <v>15768</v>
      </c>
      <c r="R215" s="208" t="str">
        <f ca="1">IF(ISERROR($V215),"",OFFSET('Smelter Look-up'!$C$4,$V215-4,0)&amp;"")</f>
        <v>Operaciones Metalurgicas S.A.</v>
      </c>
      <c r="S215" s="215" t="str">
        <f t="shared" ca="1" si="30"/>
        <v>BO</v>
      </c>
      <c r="T215" s="215" t="str">
        <f ca="1">IF(B215="","",IF(ISERROR(MATCH($J215,SorP!$B$1:$B$6230,0)),"",INDIRECT("'SorP'!$A$"&amp;MATCH($J215,SorP!$B$1:$B$6230,0))))</f>
        <v>BO-O</v>
      </c>
      <c r="U215" s="231"/>
      <c r="V215" s="262">
        <f>IF(C215="",NA(),IF(OR(C215="Smelter not listed",C215="Smelter not yet identified"),MATCH($B215&amp;$D215,'Smelter Look-up'!$J:$J,0),MATCH($B215&amp;$C215,'Smelter Look-up'!$J:$J,0)))</f>
        <v>479</v>
      </c>
      <c r="W215" s="263"/>
      <c r="X215" s="263">
        <f t="shared" si="31"/>
        <v>0</v>
      </c>
      <c r="Y215" s="263"/>
      <c r="Z215" s="263"/>
      <c r="AB215" s="265" t="str">
        <f t="shared" si="32"/>
        <v>TinOperaciones Metalurgicas S.A.</v>
      </c>
    </row>
    <row r="216" spans="1:28" s="264" customFormat="1" ht="63.75">
      <c r="A216" s="207" t="s">
        <v>781</v>
      </c>
      <c r="B216" s="208" t="s">
        <v>1131</v>
      </c>
      <c r="C216" s="356" t="s">
        <v>844</v>
      </c>
      <c r="D216" s="270"/>
      <c r="E216" s="208" t="s">
        <v>1105</v>
      </c>
      <c r="F216" s="208" t="s">
        <v>781</v>
      </c>
      <c r="G216" s="208" t="s">
        <v>13320</v>
      </c>
      <c r="H216" s="357">
        <v>0</v>
      </c>
      <c r="I216" s="358" t="s">
        <v>1779</v>
      </c>
      <c r="J216" s="358" t="s">
        <v>12931</v>
      </c>
      <c r="K216" s="359"/>
      <c r="L216" s="359"/>
      <c r="M216" s="359"/>
      <c r="N216" s="359"/>
      <c r="O216" s="359"/>
      <c r="P216" s="360" t="s">
        <v>489</v>
      </c>
      <c r="Q216" s="361" t="s">
        <v>15768</v>
      </c>
      <c r="R216" s="208" t="str">
        <f ca="1">IF(ISERROR($V216),"",OFFSET('Smelter Look-up'!$C$4,$V216-4,0)&amp;"")</f>
        <v>PT Artha Cipta Langgeng</v>
      </c>
      <c r="S216" s="215" t="str">
        <f t="shared" ca="1" si="30"/>
        <v>ID</v>
      </c>
      <c r="T216" s="215" t="str">
        <f ca="1">IF(B216="","",IF(ISERROR(MATCH($J216,SorP!$B$1:$B$6230,0)),"",INDIRECT("'SorP'!$A$"&amp;MATCH($J216,SorP!$B$1:$B$6230,0))))</f>
        <v>ID-BB</v>
      </c>
      <c r="U216" s="231"/>
      <c r="V216" s="262">
        <f>IF(C216="",NA(),IF(OR(C216="Smelter not listed",C216="Smelter not yet identified"),MATCH($B216&amp;$D216,'Smelter Look-up'!$J:$J,0),MATCH($B216&amp;$C216,'Smelter Look-up'!$J:$J,0)))</f>
        <v>484</v>
      </c>
      <c r="W216" s="263"/>
      <c r="X216" s="263">
        <f t="shared" si="31"/>
        <v>0</v>
      </c>
      <c r="Y216" s="263"/>
      <c r="Z216" s="263"/>
      <c r="AB216" s="265" t="str">
        <f t="shared" si="32"/>
        <v>TinPT Artha Cipta Langgeng</v>
      </c>
    </row>
    <row r="217" spans="1:28" s="264" customFormat="1" ht="63.75">
      <c r="A217" s="207" t="s">
        <v>1404</v>
      </c>
      <c r="B217" s="208" t="s">
        <v>1131</v>
      </c>
      <c r="C217" s="356" t="s">
        <v>1403</v>
      </c>
      <c r="D217" s="270"/>
      <c r="E217" s="208" t="s">
        <v>1105</v>
      </c>
      <c r="F217" s="208" t="s">
        <v>1404</v>
      </c>
      <c r="G217" s="208" t="s">
        <v>13320</v>
      </c>
      <c r="H217" s="357">
        <v>0</v>
      </c>
      <c r="I217" s="358" t="s">
        <v>1779</v>
      </c>
      <c r="J217" s="358" t="s">
        <v>12931</v>
      </c>
      <c r="K217" s="359"/>
      <c r="L217" s="359"/>
      <c r="M217" s="359"/>
      <c r="N217" s="359"/>
      <c r="O217" s="359"/>
      <c r="P217" s="360" t="s">
        <v>489</v>
      </c>
      <c r="Q217" s="361" t="s">
        <v>15768</v>
      </c>
      <c r="R217" s="208" t="str">
        <f ca="1">IF(ISERROR($V217),"",OFFSET('Smelter Look-up'!$C$4,$V217-4,0)&amp;"")</f>
        <v>PT ATD Makmur Mandiri Jaya</v>
      </c>
      <c r="S217" s="215" t="str">
        <f t="shared" ca="1" si="30"/>
        <v>ID</v>
      </c>
      <c r="T217" s="215" t="str">
        <f ca="1">IF(B217="","",IF(ISERROR(MATCH($J217,SorP!$B$1:$B$6230,0)),"",INDIRECT("'SorP'!$A$"&amp;MATCH($J217,SorP!$B$1:$B$6230,0))))</f>
        <v>ID-BB</v>
      </c>
      <c r="U217" s="231"/>
      <c r="V217" s="262">
        <f>IF(C217="",NA(),IF(OR(C217="Smelter not listed",C217="Smelter not yet identified"),MATCH($B217&amp;$D217,'Smelter Look-up'!$J:$J,0),MATCH($B217&amp;$C217,'Smelter Look-up'!$J:$J,0)))</f>
        <v>485</v>
      </c>
      <c r="W217" s="263"/>
      <c r="X217" s="263">
        <f t="shared" si="31"/>
        <v>0</v>
      </c>
      <c r="Y217" s="263"/>
      <c r="Z217" s="263"/>
      <c r="AB217" s="265" t="str">
        <f t="shared" si="32"/>
        <v>TinPT ATD Makmur Mandiri Jaya</v>
      </c>
    </row>
    <row r="218" spans="1:28" s="264" customFormat="1" ht="51">
      <c r="A218" s="207" t="s">
        <v>782</v>
      </c>
      <c r="B218" s="208" t="s">
        <v>1131</v>
      </c>
      <c r="C218" s="356" t="s">
        <v>627</v>
      </c>
      <c r="D218" s="270"/>
      <c r="E218" s="208" t="s">
        <v>1105</v>
      </c>
      <c r="F218" s="208" t="s">
        <v>782</v>
      </c>
      <c r="G218" s="208" t="s">
        <v>13320</v>
      </c>
      <c r="H218" s="357">
        <v>0</v>
      </c>
      <c r="I218" s="358" t="s">
        <v>1779</v>
      </c>
      <c r="J218" s="358" t="s">
        <v>12931</v>
      </c>
      <c r="K218" s="359"/>
      <c r="L218" s="359"/>
      <c r="M218" s="359"/>
      <c r="N218" s="359"/>
      <c r="O218" s="359"/>
      <c r="P218" s="360" t="s">
        <v>489</v>
      </c>
      <c r="Q218" s="361" t="s">
        <v>15768</v>
      </c>
      <c r="R218" s="208" t="str">
        <f ca="1">IF(ISERROR($V218),"",OFFSET('Smelter Look-up'!$C$4,$V218-4,0)&amp;"")</f>
        <v>PT Mitra Stania Prima</v>
      </c>
      <c r="S218" s="215" t="str">
        <f t="shared" ca="1" si="30"/>
        <v>ID</v>
      </c>
      <c r="T218" s="215" t="str">
        <f ca="1">IF(B218="","",IF(ISERROR(MATCH($J218,SorP!$B$1:$B$6230,0)),"",INDIRECT("'SorP'!$A$"&amp;MATCH($J218,SorP!$B$1:$B$6230,0))))</f>
        <v>ID-BB</v>
      </c>
      <c r="U218" s="231"/>
      <c r="V218" s="262">
        <f>IF(C218="",NA(),IF(OR(C218="Smelter not listed",C218="Smelter not yet identified"),MATCH($B218&amp;$D218,'Smelter Look-up'!$J:$J,0),MATCH($B218&amp;$C218,'Smelter Look-up'!$J:$J,0)))</f>
        <v>496</v>
      </c>
      <c r="W218" s="263"/>
      <c r="X218" s="263">
        <f t="shared" si="31"/>
        <v>0</v>
      </c>
      <c r="Y218" s="263"/>
      <c r="Z218" s="263"/>
      <c r="AB218" s="265" t="str">
        <f t="shared" si="32"/>
        <v>TinPT Mitra Stania Prima</v>
      </c>
    </row>
    <row r="219" spans="1:28" s="264" customFormat="1" ht="51">
      <c r="A219" s="207" t="s">
        <v>784</v>
      </c>
      <c r="B219" s="208" t="s">
        <v>1131</v>
      </c>
      <c r="C219" s="356" t="s">
        <v>13881</v>
      </c>
      <c r="D219" s="270"/>
      <c r="E219" s="208" t="s">
        <v>1105</v>
      </c>
      <c r="F219" s="208" t="s">
        <v>784</v>
      </c>
      <c r="G219" s="208" t="s">
        <v>13320</v>
      </c>
      <c r="H219" s="357">
        <v>0</v>
      </c>
      <c r="I219" s="358" t="s">
        <v>1807</v>
      </c>
      <c r="J219" s="358" t="s">
        <v>12931</v>
      </c>
      <c r="K219" s="359"/>
      <c r="L219" s="359"/>
      <c r="M219" s="359"/>
      <c r="N219" s="359"/>
      <c r="O219" s="359"/>
      <c r="P219" s="360" t="s">
        <v>489</v>
      </c>
      <c r="Q219" s="361" t="s">
        <v>15768</v>
      </c>
      <c r="R219" s="208" t="str">
        <f ca="1">IF(ISERROR($V219),"",OFFSET('Smelter Look-up'!$C$4,$V219-4,0)&amp;"")</f>
        <v>PT Timah Tbk Mentok</v>
      </c>
      <c r="S219" s="215" t="str">
        <f t="shared" ca="1" si="30"/>
        <v>ID</v>
      </c>
      <c r="T219" s="215" t="str">
        <f ca="1">IF(B219="","",IF(ISERROR(MATCH($J219,SorP!$B$1:$B$6230,0)),"",INDIRECT("'SorP'!$A$"&amp;MATCH($J219,SorP!$B$1:$B$6230,0))))</f>
        <v>ID-BB</v>
      </c>
      <c r="U219" s="231"/>
      <c r="V219" s="262">
        <f>IF(C219="",NA(),IF(OR(C219="Smelter not listed",C219="Smelter not yet identified"),MATCH($B219&amp;$D219,'Smelter Look-up'!$J:$J,0),MATCH($B219&amp;$C219,'Smelter Look-up'!$J:$J,0)))</f>
        <v>509</v>
      </c>
      <c r="W219" s="263"/>
      <c r="X219" s="263">
        <f t="shared" si="31"/>
        <v>0</v>
      </c>
      <c r="Y219" s="263"/>
      <c r="Z219" s="263"/>
      <c r="AB219" s="265" t="str">
        <f t="shared" si="32"/>
        <v>TinPT Timah Tbk Mentok</v>
      </c>
    </row>
    <row r="220" spans="1:28" s="264" customFormat="1" ht="76.5">
      <c r="A220" s="207" t="s">
        <v>1828</v>
      </c>
      <c r="B220" s="208" t="s">
        <v>1131</v>
      </c>
      <c r="C220" s="356" t="s">
        <v>12513</v>
      </c>
      <c r="D220" s="270"/>
      <c r="E220" s="208" t="s">
        <v>1096</v>
      </c>
      <c r="F220" s="208" t="s">
        <v>1828</v>
      </c>
      <c r="G220" s="208" t="s">
        <v>13320</v>
      </c>
      <c r="H220" s="357">
        <v>0</v>
      </c>
      <c r="I220" s="358" t="s">
        <v>1731</v>
      </c>
      <c r="J220" s="358" t="s">
        <v>1770</v>
      </c>
      <c r="K220" s="359"/>
      <c r="L220" s="359"/>
      <c r="M220" s="359"/>
      <c r="N220" s="359"/>
      <c r="O220" s="359"/>
      <c r="P220" s="360" t="s">
        <v>489</v>
      </c>
      <c r="Q220" s="361" t="s">
        <v>15768</v>
      </c>
      <c r="R220" s="208" t="str">
        <f ca="1">IF(ISERROR($V220),"",OFFSET('Smelter Look-up'!$C$4,$V220-4,0)&amp;"")</f>
        <v>Resind Industria e Comercio Ltda.</v>
      </c>
      <c r="S220" s="215" t="str">
        <f t="shared" ca="1" si="30"/>
        <v>BR</v>
      </c>
      <c r="T220" s="215" t="str">
        <f ca="1">IF(B220="","",IF(ISERROR(MATCH($J220,SorP!$B$1:$B$6230,0)),"",INDIRECT("'SorP'!$A$"&amp;MATCH($J220,SorP!$B$1:$B$6230,0))))</f>
        <v>BR-MG</v>
      </c>
      <c r="U220" s="231"/>
      <c r="V220" s="262">
        <f>IF(C220="",NA(),IF(OR(C220="Smelter not listed",C220="Smelter not yet identified"),MATCH($B220&amp;$D220,'Smelter Look-up'!$J:$J,0),MATCH($B220&amp;$C220,'Smelter Look-up'!$J:$J,0)))</f>
        <v>514</v>
      </c>
      <c r="W220" s="263"/>
      <c r="X220" s="263">
        <f t="shared" si="31"/>
        <v>0</v>
      </c>
      <c r="Y220" s="263"/>
      <c r="Z220" s="263"/>
      <c r="AB220" s="265" t="str">
        <f t="shared" si="32"/>
        <v>TinResind Industria e Comercio Ltda.</v>
      </c>
    </row>
    <row r="221" spans="1:28" s="264" customFormat="1" ht="25.5">
      <c r="A221" s="207" t="s">
        <v>786</v>
      </c>
      <c r="B221" s="208" t="s">
        <v>1131</v>
      </c>
      <c r="C221" s="356" t="s">
        <v>785</v>
      </c>
      <c r="D221" s="270"/>
      <c r="E221" s="208" t="s">
        <v>2455</v>
      </c>
      <c r="F221" s="208" t="s">
        <v>786</v>
      </c>
      <c r="G221" s="208" t="s">
        <v>13320</v>
      </c>
      <c r="H221" s="357">
        <v>0</v>
      </c>
      <c r="I221" s="358" t="s">
        <v>13915</v>
      </c>
      <c r="J221" s="358" t="s">
        <v>1710</v>
      </c>
      <c r="K221" s="359"/>
      <c r="L221" s="359"/>
      <c r="M221" s="359"/>
      <c r="N221" s="359" t="s">
        <v>15769</v>
      </c>
      <c r="O221" s="359" t="s">
        <v>15769</v>
      </c>
      <c r="P221" s="360" t="s">
        <v>489</v>
      </c>
      <c r="Q221" s="361" t="s">
        <v>15768</v>
      </c>
      <c r="R221" s="208" t="str">
        <f ca="1">IF(ISERROR($V221),"",OFFSET('Smelter Look-up'!$C$4,$V221-4,0)&amp;"")</f>
        <v>Rui Da Hung</v>
      </c>
      <c r="S221" s="215" t="str">
        <f t="shared" ca="1" si="30"/>
        <v>TW</v>
      </c>
      <c r="T221" s="215" t="str">
        <f ca="1">IF(B221="","",IF(ISERROR(MATCH($J221,SorP!$B$1:$B$6230,0)),"",INDIRECT("'SorP'!$A$"&amp;MATCH($J221,SorP!$B$1:$B$6230,0))))</f>
        <v>TW-TAO</v>
      </c>
      <c r="U221" s="231"/>
      <c r="V221" s="262">
        <f>IF(C221="",NA(),IF(OR(C221="Smelter not listed",C221="Smelter not yet identified"),MATCH($B221&amp;$D221,'Smelter Look-up'!$J:$J,0),MATCH($B221&amp;$C221,'Smelter Look-up'!$J:$J,0)))</f>
        <v>516</v>
      </c>
      <c r="W221" s="263"/>
      <c r="X221" s="263">
        <f t="shared" si="31"/>
        <v>0</v>
      </c>
      <c r="Y221" s="263"/>
      <c r="Z221" s="263"/>
      <c r="AB221" s="265" t="str">
        <f t="shared" si="32"/>
        <v>TinRui Da Hung</v>
      </c>
    </row>
    <row r="222" spans="1:28" s="264" customFormat="1" ht="38.25">
      <c r="A222" s="207" t="s">
        <v>787</v>
      </c>
      <c r="B222" s="208" t="s">
        <v>1131</v>
      </c>
      <c r="C222" s="356" t="s">
        <v>2176</v>
      </c>
      <c r="D222" s="270"/>
      <c r="E222" s="208" t="s">
        <v>1096</v>
      </c>
      <c r="F222" s="208" t="s">
        <v>787</v>
      </c>
      <c r="G222" s="208" t="s">
        <v>13320</v>
      </c>
      <c r="H222" s="357">
        <v>0</v>
      </c>
      <c r="I222" s="358" t="s">
        <v>1808</v>
      </c>
      <c r="J222" s="358" t="s">
        <v>1682</v>
      </c>
      <c r="K222" s="359"/>
      <c r="L222" s="359"/>
      <c r="M222" s="359"/>
      <c r="N222" s="359" t="s">
        <v>15769</v>
      </c>
      <c r="O222" s="359" t="s">
        <v>15769</v>
      </c>
      <c r="P222" s="360" t="s">
        <v>489</v>
      </c>
      <c r="Q222" s="361" t="s">
        <v>15768</v>
      </c>
      <c r="R222" s="208" t="str">
        <f ca="1">IF(ISERROR($V222),"",OFFSET('Smelter Look-up'!$C$4,$V222-4,0)&amp;"")</f>
        <v>Soft Metais Ltda.</v>
      </c>
      <c r="S222" s="215" t="str">
        <f t="shared" ca="1" si="30"/>
        <v>BR</v>
      </c>
      <c r="T222" s="215" t="str">
        <f ca="1">IF(B222="","",IF(ISERROR(MATCH($J222,SorP!$B$1:$B$6230,0)),"",INDIRECT("'SorP'!$A$"&amp;MATCH($J222,SorP!$B$1:$B$6230,0))))</f>
        <v>BR-SP</v>
      </c>
      <c r="U222" s="231"/>
      <c r="V222" s="262">
        <f>IF(C222="",NA(),IF(OR(C222="Smelter not listed",C222="Smelter not yet identified"),MATCH($B222&amp;$D222,'Smelter Look-up'!$J:$J,0),MATCH($B222&amp;$C222,'Smelter Look-up'!$J:$J,0)))</f>
        <v>518</v>
      </c>
      <c r="W222" s="263"/>
      <c r="X222" s="263">
        <f t="shared" si="31"/>
        <v>0</v>
      </c>
      <c r="Y222" s="263"/>
      <c r="Z222" s="263"/>
      <c r="AB222" s="265" t="str">
        <f t="shared" si="32"/>
        <v>TinSoft Metais Ltda.</v>
      </c>
    </row>
    <row r="223" spans="1:28" s="264" customFormat="1" ht="25.5">
      <c r="A223" s="207" t="s">
        <v>788</v>
      </c>
      <c r="B223" s="208" t="s">
        <v>1131</v>
      </c>
      <c r="C223" s="356" t="s">
        <v>1031</v>
      </c>
      <c r="D223" s="270"/>
      <c r="E223" s="208" t="s">
        <v>888</v>
      </c>
      <c r="F223" s="208" t="s">
        <v>788</v>
      </c>
      <c r="G223" s="208" t="s">
        <v>13320</v>
      </c>
      <c r="H223" s="357">
        <v>0</v>
      </c>
      <c r="I223" s="358" t="s">
        <v>1809</v>
      </c>
      <c r="J223" s="358" t="s">
        <v>1810</v>
      </c>
      <c r="K223" s="359"/>
      <c r="L223" s="359"/>
      <c r="M223" s="359"/>
      <c r="N223" s="359" t="s">
        <v>15774</v>
      </c>
      <c r="O223" s="359" t="s">
        <v>15774</v>
      </c>
      <c r="P223" s="360" t="s">
        <v>489</v>
      </c>
      <c r="Q223" s="361" t="s">
        <v>15768</v>
      </c>
      <c r="R223" s="208" t="str">
        <f ca="1">IF(ISERROR($V223),"",OFFSET('Smelter Look-up'!$C$4,$V223-4,0)&amp;"")</f>
        <v>Thaisarco</v>
      </c>
      <c r="S223" s="215" t="str">
        <f t="shared" ca="1" si="30"/>
        <v>TH</v>
      </c>
      <c r="T223" s="215" t="str">
        <f ca="1">IF(B223="","",IF(ISERROR(MATCH($J223,SorP!$B$1:$B$6230,0)),"",INDIRECT("'SorP'!$A$"&amp;MATCH($J223,SorP!$B$1:$B$6230,0))))</f>
        <v>TH-83</v>
      </c>
      <c r="U223" s="231"/>
      <c r="V223" s="262">
        <f>IF(C223="",NA(),IF(OR(C223="Smelter not listed",C223="Smelter not yet identified"),MATCH($B223&amp;$D223,'Smelter Look-up'!$J:$J,0),MATCH($B223&amp;$C223,'Smelter Look-up'!$J:$J,0)))</f>
        <v>523</v>
      </c>
      <c r="W223" s="263"/>
      <c r="X223" s="263">
        <f t="shared" si="31"/>
        <v>0</v>
      </c>
      <c r="Y223" s="263"/>
      <c r="Z223" s="263"/>
      <c r="AB223" s="265" t="str">
        <f t="shared" si="32"/>
        <v>TinThaisarco</v>
      </c>
    </row>
    <row r="224" spans="1:28" s="264" customFormat="1" ht="51">
      <c r="A224" s="207" t="s">
        <v>13264</v>
      </c>
      <c r="B224" s="208" t="s">
        <v>1131</v>
      </c>
      <c r="C224" s="356" t="s">
        <v>13263</v>
      </c>
      <c r="D224" s="270"/>
      <c r="E224" s="208" t="s">
        <v>2456</v>
      </c>
      <c r="F224" s="208" t="s">
        <v>13264</v>
      </c>
      <c r="G224" s="208" t="s">
        <v>13320</v>
      </c>
      <c r="H224" s="357">
        <v>0</v>
      </c>
      <c r="I224" s="358" t="s">
        <v>13265</v>
      </c>
      <c r="J224" s="358" t="s">
        <v>1748</v>
      </c>
      <c r="K224" s="359"/>
      <c r="L224" s="359"/>
      <c r="M224" s="359"/>
      <c r="N224" s="359" t="s">
        <v>15774</v>
      </c>
      <c r="O224" s="359" t="s">
        <v>15774</v>
      </c>
      <c r="P224" s="360" t="s">
        <v>489</v>
      </c>
      <c r="Q224" s="361" t="s">
        <v>15768</v>
      </c>
      <c r="R224" s="208" t="str">
        <f ca="1">IF(ISERROR($V224),"",OFFSET('Smelter Look-up'!$C$4,$V224-4,0)&amp;"")</f>
        <v>Tin Technology &amp; Refining</v>
      </c>
      <c r="S224" s="215" t="str">
        <f t="shared" ca="1" si="30"/>
        <v>US</v>
      </c>
      <c r="T224" s="215" t="str">
        <f ca="1">IF(B224="","",IF(ISERROR(MATCH($J224,SorP!$B$1:$B$6230,0)),"",INDIRECT("'SorP'!$A$"&amp;MATCH($J224,SorP!$B$1:$B$6230,0))))</f>
        <v>US-PA</v>
      </c>
      <c r="U224" s="231"/>
      <c r="V224" s="262">
        <f>IF(C224="",NA(),IF(OR(C224="Smelter not listed",C224="Smelter not yet identified"),MATCH($B224&amp;$D224,'Smelter Look-up'!$J:$J,0),MATCH($B224&amp;$C224,'Smelter Look-up'!$J:$J,0)))</f>
        <v>527</v>
      </c>
      <c r="W224" s="263"/>
      <c r="X224" s="263">
        <f t="shared" si="31"/>
        <v>0</v>
      </c>
      <c r="Y224" s="263"/>
      <c r="Z224" s="263"/>
      <c r="AB224" s="265" t="str">
        <f t="shared" si="32"/>
        <v>TinTin Technology &amp; Refining</v>
      </c>
    </row>
    <row r="225" spans="1:28" s="264" customFormat="1" ht="76.5">
      <c r="A225" s="207" t="s">
        <v>789</v>
      </c>
      <c r="B225" s="208" t="s">
        <v>1131</v>
      </c>
      <c r="C225" s="356" t="s">
        <v>2556</v>
      </c>
      <c r="D225" s="270"/>
      <c r="E225" s="208" t="s">
        <v>1096</v>
      </c>
      <c r="F225" s="208" t="s">
        <v>789</v>
      </c>
      <c r="G225" s="208" t="s">
        <v>13320</v>
      </c>
      <c r="H225" s="357">
        <v>0</v>
      </c>
      <c r="I225" s="358" t="s">
        <v>1778</v>
      </c>
      <c r="J225" s="358" t="s">
        <v>1782</v>
      </c>
      <c r="K225" s="359"/>
      <c r="L225" s="359"/>
      <c r="M225" s="359"/>
      <c r="N225" s="359"/>
      <c r="O225" s="359"/>
      <c r="P225" s="360" t="s">
        <v>489</v>
      </c>
      <c r="Q225" s="361" t="s">
        <v>15768</v>
      </c>
      <c r="R225" s="208" t="str">
        <f ca="1">IF(ISERROR($V225),"",OFFSET('Smelter Look-up'!$C$4,$V225-4,0)&amp;"")</f>
        <v>White Solder Metalurgia e Mineracao Ltda.</v>
      </c>
      <c r="S225" s="215" t="str">
        <f t="shared" ca="1" si="30"/>
        <v>BR</v>
      </c>
      <c r="T225" s="215" t="str">
        <f ca="1">IF(B225="","",IF(ISERROR(MATCH($J225,SorP!$B$1:$B$6230,0)),"",INDIRECT("'SorP'!$A$"&amp;MATCH($J225,SorP!$B$1:$B$6230,0))))</f>
        <v>BR-RO</v>
      </c>
      <c r="U225" s="231"/>
      <c r="V225" s="262">
        <f>IF(C225="",NA(),IF(OR(C225="Smelter not listed",C225="Smelter not yet identified"),MATCH($B225&amp;$D225,'Smelter Look-up'!$J:$J,0),MATCH($B225&amp;$C225,'Smelter Look-up'!$J:$J,0)))</f>
        <v>532</v>
      </c>
      <c r="W225" s="263"/>
      <c r="X225" s="263">
        <f t="shared" si="31"/>
        <v>0</v>
      </c>
      <c r="Y225" s="263"/>
      <c r="Z225" s="263"/>
      <c r="AB225" s="265" t="str">
        <f t="shared" si="32"/>
        <v>TinWhite Solder Metalurgia e Mineracao Ltda.</v>
      </c>
    </row>
    <row r="226" spans="1:28" s="264" customFormat="1" ht="102">
      <c r="A226" s="207" t="s">
        <v>790</v>
      </c>
      <c r="B226" s="208" t="s">
        <v>1131</v>
      </c>
      <c r="C226" s="356" t="s">
        <v>2181</v>
      </c>
      <c r="D226" s="270"/>
      <c r="E226" s="208" t="s">
        <v>1100</v>
      </c>
      <c r="F226" s="208" t="s">
        <v>790</v>
      </c>
      <c r="G226" s="208" t="s">
        <v>13320</v>
      </c>
      <c r="H226" s="357">
        <v>0</v>
      </c>
      <c r="I226" s="358" t="s">
        <v>2470</v>
      </c>
      <c r="J226" s="358" t="s">
        <v>13708</v>
      </c>
      <c r="K226" s="359"/>
      <c r="L226" s="359"/>
      <c r="M226" s="359"/>
      <c r="N226" s="359"/>
      <c r="O226" s="359"/>
      <c r="P226" s="360" t="s">
        <v>489</v>
      </c>
      <c r="Q226" s="361" t="s">
        <v>15768</v>
      </c>
      <c r="R226" s="208" t="str">
        <f ca="1">IF(ISERROR($V226),"",OFFSET('Smelter Look-up'!$C$4,$V226-4,0)&amp;"")</f>
        <v>Yunnan Chengfeng Non-ferrous Metals Co., Ltd.</v>
      </c>
      <c r="S226" s="215" t="str">
        <f t="shared" ca="1" si="30"/>
        <v>CN</v>
      </c>
      <c r="T226" s="215" t="str">
        <f ca="1">IF(B226="","",IF(ISERROR(MATCH($J226,SorP!$B$1:$B$6230,0)),"",INDIRECT("'SorP'!$A$"&amp;MATCH($J226,SorP!$B$1:$B$6230,0))))</f>
        <v>CN-YN</v>
      </c>
      <c r="U226" s="231"/>
      <c r="V226" s="262">
        <f>IF(C226="",NA(),IF(OR(C226="Smelter not listed",C226="Smelter not yet identified"),MATCH($B226&amp;$D226,'Smelter Look-up'!$J:$J,0),MATCH($B226&amp;$C226,'Smelter Look-up'!$J:$J,0)))</f>
        <v>540</v>
      </c>
      <c r="W226" s="263"/>
      <c r="X226" s="263">
        <f t="shared" si="31"/>
        <v>0</v>
      </c>
      <c r="Y226" s="263"/>
      <c r="Z226" s="263"/>
      <c r="AB226" s="265" t="str">
        <f t="shared" si="32"/>
        <v>TinYunnan Chengfeng Non-ferrous Metals Co., Ltd.</v>
      </c>
    </row>
    <row r="227" spans="1:28" s="264" customFormat="1" ht="38.25">
      <c r="A227" s="207" t="s">
        <v>792</v>
      </c>
      <c r="B227" s="208" t="s">
        <v>1133</v>
      </c>
      <c r="C227" s="356" t="s">
        <v>13893</v>
      </c>
      <c r="D227" s="270"/>
      <c r="E227" s="208" t="s">
        <v>1108</v>
      </c>
      <c r="F227" s="208" t="s">
        <v>792</v>
      </c>
      <c r="G227" s="208" t="s">
        <v>13320</v>
      </c>
      <c r="H227" s="357">
        <v>0</v>
      </c>
      <c r="I227" s="358" t="s">
        <v>2146</v>
      </c>
      <c r="J227" s="358" t="s">
        <v>2147</v>
      </c>
      <c r="K227" s="359"/>
      <c r="L227" s="359"/>
      <c r="M227" s="359"/>
      <c r="N227" s="359" t="s">
        <v>15773</v>
      </c>
      <c r="O227" s="359" t="s">
        <v>15773</v>
      </c>
      <c r="P227" s="360" t="s">
        <v>489</v>
      </c>
      <c r="Q227" s="361" t="s">
        <v>15768</v>
      </c>
      <c r="R227" s="208" t="str">
        <f ca="1">IF(ISERROR($V227),"",OFFSET('Smelter Look-up'!$C$4,$V227-4,0)&amp;"")</f>
        <v>A.L.M.T. Corp.</v>
      </c>
      <c r="S227" s="215" t="str">
        <f t="shared" ca="1" si="30"/>
        <v>JP</v>
      </c>
      <c r="T227" s="215" t="str">
        <f ca="1">IF(B227="","",IF(ISERROR(MATCH($J227,SorP!$B$1:$B$6230,0)),"",INDIRECT("'SorP'!$A$"&amp;MATCH($J227,SorP!$B$1:$B$6230,0))))</f>
        <v>JP-16</v>
      </c>
      <c r="U227" s="231"/>
      <c r="V227" s="262">
        <f>IF(C227="",NA(),IF(OR(C227="Smelter not listed",C227="Smelter not yet identified"),MATCH($B227&amp;$D227,'Smelter Look-up'!$J:$J,0),MATCH($B227&amp;$C227,'Smelter Look-up'!$J:$J,0)))</f>
        <v>554</v>
      </c>
      <c r="W227" s="263"/>
      <c r="X227" s="263">
        <f t="shared" si="31"/>
        <v>0</v>
      </c>
      <c r="Y227" s="263"/>
      <c r="Z227" s="263"/>
      <c r="AB227" s="265" t="str">
        <f t="shared" si="32"/>
        <v>TungstenA.L.M.T. Corp.</v>
      </c>
    </row>
    <row r="228" spans="1:28" s="264" customFormat="1" ht="51">
      <c r="A228" s="207" t="s">
        <v>2284</v>
      </c>
      <c r="B228" s="208" t="s">
        <v>1133</v>
      </c>
      <c r="C228" s="356" t="s">
        <v>2283</v>
      </c>
      <c r="D228" s="270"/>
      <c r="E228" s="208" t="s">
        <v>1096</v>
      </c>
      <c r="F228" s="208" t="s">
        <v>2284</v>
      </c>
      <c r="G228" s="208" t="s">
        <v>13320</v>
      </c>
      <c r="H228" s="357">
        <v>0</v>
      </c>
      <c r="I228" s="358" t="s">
        <v>2285</v>
      </c>
      <c r="J228" s="358" t="s">
        <v>1682</v>
      </c>
      <c r="K228" s="359"/>
      <c r="L228" s="359"/>
      <c r="M228" s="359"/>
      <c r="N228" s="359"/>
      <c r="O228" s="359"/>
      <c r="P228" s="360" t="s">
        <v>489</v>
      </c>
      <c r="Q228" s="361" t="s">
        <v>15768</v>
      </c>
      <c r="R228" s="208" t="str">
        <f ca="1">IF(ISERROR($V228),"",OFFSET('Smelter Look-up'!$C$4,$V228-4,0)&amp;"")</f>
        <v>ACL Metais Eireli</v>
      </c>
      <c r="S228" s="215" t="str">
        <f t="shared" ca="1" si="30"/>
        <v>BR</v>
      </c>
      <c r="T228" s="215" t="str">
        <f ca="1">IF(B228="","",IF(ISERROR(MATCH($J228,SorP!$B$1:$B$6230,0)),"",INDIRECT("'SorP'!$A$"&amp;MATCH($J228,SorP!$B$1:$B$6230,0))))</f>
        <v>BR-SP</v>
      </c>
      <c r="U228" s="231"/>
      <c r="V228" s="262">
        <f>IF(C228="",NA(),IF(OR(C228="Smelter not listed",C228="Smelter not yet identified"),MATCH($B228&amp;$D228,'Smelter Look-up'!$J:$J,0),MATCH($B228&amp;$C228,'Smelter Look-up'!$J:$J,0)))</f>
        <v>556</v>
      </c>
      <c r="W228" s="263"/>
      <c r="X228" s="263">
        <f t="shared" si="31"/>
        <v>0</v>
      </c>
      <c r="Y228" s="263"/>
      <c r="Z228" s="263"/>
      <c r="AB228" s="265" t="str">
        <f t="shared" si="32"/>
        <v>TungstenACL Metais Eireli</v>
      </c>
    </row>
    <row r="229" spans="1:28" s="264" customFormat="1" ht="102">
      <c r="A229" s="207" t="s">
        <v>13960</v>
      </c>
      <c r="B229" s="208" t="s">
        <v>1133</v>
      </c>
      <c r="C229" s="356" t="s">
        <v>13945</v>
      </c>
      <c r="D229" s="270"/>
      <c r="E229" s="208" t="s">
        <v>892</v>
      </c>
      <c r="F229" s="208" t="s">
        <v>13960</v>
      </c>
      <c r="G229" s="208" t="s">
        <v>13320</v>
      </c>
      <c r="H229" s="357">
        <v>0</v>
      </c>
      <c r="I229" s="358" t="s">
        <v>13970</v>
      </c>
      <c r="J229" s="358" t="s">
        <v>1852</v>
      </c>
      <c r="K229" s="359"/>
      <c r="L229" s="359"/>
      <c r="M229" s="359"/>
      <c r="N229" s="359" t="s">
        <v>15779</v>
      </c>
      <c r="O229" s="359" t="s">
        <v>15779</v>
      </c>
      <c r="P229" s="360" t="s">
        <v>489</v>
      </c>
      <c r="Q229" s="361" t="s">
        <v>15768</v>
      </c>
      <c r="R229" s="208" t="str">
        <f ca="1">IF(ISERROR($V229),"",OFFSET('Smelter Look-up'!$C$4,$V229-4,0)&amp;"")</f>
        <v>Asia Tungsten Products Vietnam Ltd.</v>
      </c>
      <c r="S229" s="215" t="str">
        <f t="shared" ca="1" si="30"/>
        <v>VN</v>
      </c>
      <c r="T229" s="215" t="str">
        <f ca="1">IF(B229="","",IF(ISERROR(MATCH($J229,SorP!$B$1:$B$6230,0)),"",INDIRECT("'SorP'!$A$"&amp;MATCH($J229,SorP!$B$1:$B$6230,0))))</f>
        <v>VN-HP</v>
      </c>
      <c r="U229" s="231"/>
      <c r="V229" s="262">
        <f>IF(C229="",NA(),IF(OR(C229="Smelter not listed",C229="Smelter not yet identified"),MATCH($B229&amp;$D229,'Smelter Look-up'!$J:$J,0),MATCH($B229&amp;$C229,'Smelter Look-up'!$J:$J,0)))</f>
        <v>562</v>
      </c>
      <c r="W229" s="263"/>
      <c r="X229" s="263">
        <f t="shared" si="31"/>
        <v>0</v>
      </c>
      <c r="Y229" s="263"/>
      <c r="Z229" s="263"/>
      <c r="AB229" s="265" t="str">
        <f t="shared" si="32"/>
        <v>TungstenAsia Tungsten Products Vietnam Ltd.</v>
      </c>
    </row>
    <row r="230" spans="1:28" s="264" customFormat="1" ht="63.75">
      <c r="A230" s="207" t="s">
        <v>793</v>
      </c>
      <c r="B230" s="208" t="s">
        <v>1133</v>
      </c>
      <c r="C230" s="356" t="s">
        <v>148</v>
      </c>
      <c r="D230" s="270"/>
      <c r="E230" s="208" t="s">
        <v>2456</v>
      </c>
      <c r="F230" s="208" t="s">
        <v>793</v>
      </c>
      <c r="G230" s="208" t="s">
        <v>13320</v>
      </c>
      <c r="H230" s="357">
        <v>0</v>
      </c>
      <c r="I230" s="358" t="s">
        <v>1836</v>
      </c>
      <c r="J230" s="358" t="s">
        <v>1837</v>
      </c>
      <c r="K230" s="359"/>
      <c r="L230" s="359"/>
      <c r="M230" s="359"/>
      <c r="N230" s="359" t="s">
        <v>15769</v>
      </c>
      <c r="O230" s="359" t="s">
        <v>15769</v>
      </c>
      <c r="P230" s="360" t="s">
        <v>489</v>
      </c>
      <c r="Q230" s="361" t="s">
        <v>15768</v>
      </c>
      <c r="R230" s="208" t="str">
        <f ca="1">IF(ISERROR($V230),"",OFFSET('Smelter Look-up'!$C$4,$V230-4,0)&amp;"")</f>
        <v>Kennametal Huntsville</v>
      </c>
      <c r="S230" s="215" t="str">
        <f t="shared" ref="S230:S260" ca="1" si="33">IF(B230="","",IF(ISERROR(MATCH($E230,CL,0)),"Unknown",INDIRECT("'C'!$A$"&amp;MATCH($E230,CL,0)+1)))</f>
        <v>US</v>
      </c>
      <c r="T230" s="215" t="str">
        <f ca="1">IF(B230="","",IF(ISERROR(MATCH($J230,SorP!$B$1:$B$6230,0)),"",INDIRECT("'SorP'!$A$"&amp;MATCH($J230,SorP!$B$1:$B$6230,0))))</f>
        <v>US-AL</v>
      </c>
      <c r="U230" s="231"/>
      <c r="V230" s="262">
        <f>IF(C230="",NA(),IF(OR(C230="Smelter not listed",C230="Smelter not yet identified"),MATCH($B230&amp;$D230,'Smelter Look-up'!$J:$J,0),MATCH($B230&amp;$C230,'Smelter Look-up'!$J:$J,0)))</f>
        <v>604</v>
      </c>
      <c r="W230" s="263"/>
      <c r="X230" s="263">
        <f t="shared" ref="X230:X260" si="34">IF(AND(C230="Smelter not listed",OR(LEN(D230)=0,LEN(E230)=0)),1,0)</f>
        <v>0</v>
      </c>
      <c r="Y230" s="263"/>
      <c r="Z230" s="263"/>
      <c r="AB230" s="265" t="str">
        <f t="shared" ref="AB230:AB260" si="35">B230&amp;C230</f>
        <v>TungstenKennametal Huntsville</v>
      </c>
    </row>
    <row r="231" spans="1:28" s="264" customFormat="1" ht="114.75">
      <c r="A231" s="207" t="s">
        <v>1406</v>
      </c>
      <c r="B231" s="208" t="s">
        <v>1133</v>
      </c>
      <c r="C231" s="356" t="s">
        <v>1405</v>
      </c>
      <c r="D231" s="270"/>
      <c r="E231" s="208" t="s">
        <v>1100</v>
      </c>
      <c r="F231" s="208" t="s">
        <v>1406</v>
      </c>
      <c r="G231" s="208" t="s">
        <v>13320</v>
      </c>
      <c r="H231" s="357">
        <v>0</v>
      </c>
      <c r="I231" s="358" t="s">
        <v>1787</v>
      </c>
      <c r="J231" s="358" t="s">
        <v>13703</v>
      </c>
      <c r="K231" s="359"/>
      <c r="L231" s="359"/>
      <c r="M231" s="359"/>
      <c r="N231" s="359"/>
      <c r="O231" s="359"/>
      <c r="P231" s="360" t="s">
        <v>489</v>
      </c>
      <c r="Q231" s="361" t="s">
        <v>15768</v>
      </c>
      <c r="R231" s="208" t="str">
        <f ca="1">IF(ISERROR($V231),"",OFFSET('Smelter Look-up'!$C$4,$V231-4,0)&amp;"")</f>
        <v>Chenzhou Diamond Tungsten Products Co., Ltd.</v>
      </c>
      <c r="S231" s="215" t="str">
        <f t="shared" ca="1" si="33"/>
        <v>CN</v>
      </c>
      <c r="T231" s="215" t="str">
        <f ca="1">IF(B231="","",IF(ISERROR(MATCH($J231,SorP!$B$1:$B$6230,0)),"",INDIRECT("'SorP'!$A$"&amp;MATCH($J231,SorP!$B$1:$B$6230,0))))</f>
        <v>CN-HN</v>
      </c>
      <c r="U231" s="231"/>
      <c r="V231" s="262">
        <f>IF(C231="",NA(),IF(OR(C231="Smelter not listed",C231="Smelter not yet identified"),MATCH($B231&amp;$D231,'Smelter Look-up'!$J:$J,0),MATCH($B231&amp;$C231,'Smelter Look-up'!$J:$J,0)))</f>
        <v>566</v>
      </c>
      <c r="W231" s="263"/>
      <c r="X231" s="263">
        <f t="shared" si="34"/>
        <v>0</v>
      </c>
      <c r="Y231" s="263"/>
      <c r="Z231" s="263"/>
      <c r="AB231" s="265" t="str">
        <f t="shared" si="35"/>
        <v>TungstenChenzhou Diamond Tungsten Products Co., Ltd.</v>
      </c>
    </row>
    <row r="232" spans="1:28" s="264" customFormat="1" ht="102">
      <c r="A232" s="207" t="s">
        <v>795</v>
      </c>
      <c r="B232" s="208" t="s">
        <v>1133</v>
      </c>
      <c r="C232" s="356" t="s">
        <v>1379</v>
      </c>
      <c r="D232" s="270"/>
      <c r="E232" s="208" t="s">
        <v>1100</v>
      </c>
      <c r="F232" s="208" t="s">
        <v>795</v>
      </c>
      <c r="G232" s="208" t="s">
        <v>13320</v>
      </c>
      <c r="H232" s="357">
        <v>0</v>
      </c>
      <c r="I232" s="358" t="s">
        <v>1786</v>
      </c>
      <c r="J232" s="358" t="s">
        <v>13699</v>
      </c>
      <c r="K232" s="359"/>
      <c r="L232" s="359"/>
      <c r="M232" s="359"/>
      <c r="N232" s="359"/>
      <c r="O232" s="359"/>
      <c r="P232" s="360" t="s">
        <v>489</v>
      </c>
      <c r="Q232" s="361" t="s">
        <v>15768</v>
      </c>
      <c r="R232" s="208" t="str">
        <f ca="1">IF(ISERROR($V232),"",OFFSET('Smelter Look-up'!$C$4,$V232-4,0)&amp;"")</f>
        <v>Chongyi Zhangyuan Tungsten Co., Ltd.</v>
      </c>
      <c r="S232" s="215" t="str">
        <f t="shared" ca="1" si="33"/>
        <v>CN</v>
      </c>
      <c r="T232" s="215" t="str">
        <f ca="1">IF(B232="","",IF(ISERROR(MATCH($J232,SorP!$B$1:$B$6230,0)),"",INDIRECT("'SorP'!$A$"&amp;MATCH($J232,SorP!$B$1:$B$6230,0))))</f>
        <v>CN-JX</v>
      </c>
      <c r="U232" s="231"/>
      <c r="V232" s="262">
        <f>IF(C232="",NA(),IF(OR(C232="Smelter not listed",C232="Smelter not yet identified"),MATCH($B232&amp;$D232,'Smelter Look-up'!$J:$J,0),MATCH($B232&amp;$C232,'Smelter Look-up'!$J:$J,0)))</f>
        <v>570</v>
      </c>
      <c r="W232" s="263"/>
      <c r="X232" s="263">
        <f t="shared" si="34"/>
        <v>0</v>
      </c>
      <c r="Y232" s="263"/>
      <c r="Z232" s="263"/>
      <c r="AB232" s="265" t="str">
        <f t="shared" si="35"/>
        <v>TungstenChongyi Zhangyuan Tungsten Co., Ltd.</v>
      </c>
    </row>
    <row r="233" spans="1:28" s="264" customFormat="1" ht="102">
      <c r="A233" s="207" t="s">
        <v>2559</v>
      </c>
      <c r="B233" s="208" t="s">
        <v>1133</v>
      </c>
      <c r="C233" s="356" t="s">
        <v>13017</v>
      </c>
      <c r="D233" s="270"/>
      <c r="E233" s="208" t="s">
        <v>1100</v>
      </c>
      <c r="F233" s="208" t="s">
        <v>2559</v>
      </c>
      <c r="G233" s="208" t="s">
        <v>13320</v>
      </c>
      <c r="H233" s="357">
        <v>0</v>
      </c>
      <c r="I233" s="358" t="s">
        <v>1786</v>
      </c>
      <c r="J233" s="358" t="s">
        <v>13699</v>
      </c>
      <c r="K233" s="359"/>
      <c r="L233" s="359"/>
      <c r="M233" s="359"/>
      <c r="N233" s="359"/>
      <c r="O233" s="359"/>
      <c r="P233" s="360" t="s">
        <v>489</v>
      </c>
      <c r="Q233" s="361" t="s">
        <v>15768</v>
      </c>
      <c r="R233" s="208" t="str">
        <f ca="1">IF(ISERROR($V233),"",OFFSET('Smelter Look-up'!$C$4,$V233-4,0)&amp;"")</f>
        <v>Ganzhou Haichuang Tungsten Co., Ltd.</v>
      </c>
      <c r="S233" s="215" t="str">
        <f t="shared" ca="1" si="33"/>
        <v>CN</v>
      </c>
      <c r="T233" s="215" t="str">
        <f ca="1">IF(B233="","",IF(ISERROR(MATCH($J233,SorP!$B$1:$B$6230,0)),"",INDIRECT("'SorP'!$A$"&amp;MATCH($J233,SorP!$B$1:$B$6230,0))))</f>
        <v>CN-JX</v>
      </c>
      <c r="U233" s="231"/>
      <c r="V233" s="262">
        <f>IF(C233="",NA(),IF(OR(C233="Smelter not listed",C233="Smelter not yet identified"),MATCH($B233&amp;$D233,'Smelter Look-up'!$J:$J,0),MATCH($B233&amp;$C233,'Smelter Look-up'!$J:$J,0)))</f>
        <v>575</v>
      </c>
      <c r="W233" s="263"/>
      <c r="X233" s="263">
        <f t="shared" si="34"/>
        <v>0</v>
      </c>
      <c r="Y233" s="263"/>
      <c r="Z233" s="263"/>
      <c r="AB233" s="265" t="str">
        <f t="shared" si="35"/>
        <v>TungstenGanzhou Haichuang Tungsten Co., Ltd.</v>
      </c>
    </row>
    <row r="234" spans="1:28" s="264" customFormat="1" ht="114.75">
      <c r="A234" s="207" t="s">
        <v>800</v>
      </c>
      <c r="B234" s="208" t="s">
        <v>1133</v>
      </c>
      <c r="C234" s="356" t="s">
        <v>149</v>
      </c>
      <c r="D234" s="270"/>
      <c r="E234" s="208" t="s">
        <v>1100</v>
      </c>
      <c r="F234" s="208" t="s">
        <v>800</v>
      </c>
      <c r="G234" s="208" t="s">
        <v>13320</v>
      </c>
      <c r="H234" s="357">
        <v>0</v>
      </c>
      <c r="I234" s="358" t="s">
        <v>1786</v>
      </c>
      <c r="J234" s="358" t="s">
        <v>13699</v>
      </c>
      <c r="K234" s="359"/>
      <c r="L234" s="359"/>
      <c r="M234" s="359"/>
      <c r="N234" s="359"/>
      <c r="O234" s="359"/>
      <c r="P234" s="360" t="s">
        <v>489</v>
      </c>
      <c r="Q234" s="361" t="s">
        <v>15768</v>
      </c>
      <c r="R234" s="208" t="str">
        <f ca="1">IF(ISERROR($V234),"",OFFSET('Smelter Look-up'!$C$4,$V234-4,0)&amp;"")</f>
        <v>Ganzhou Huaxing Tungsten Products Co., Ltd.</v>
      </c>
      <c r="S234" s="215" t="str">
        <f t="shared" ca="1" si="33"/>
        <v>CN</v>
      </c>
      <c r="T234" s="215" t="str">
        <f ca="1">IF(B234="","",IF(ISERROR(MATCH($J234,SorP!$B$1:$B$6230,0)),"",INDIRECT("'SorP'!$A$"&amp;MATCH($J234,SorP!$B$1:$B$6230,0))))</f>
        <v>CN-JX</v>
      </c>
      <c r="U234" s="231"/>
      <c r="V234" s="262">
        <f>IF(C234="",NA(),IF(OR(C234="Smelter not listed",C234="Smelter not yet identified"),MATCH($B234&amp;$D234,'Smelter Look-up'!$J:$J,0),MATCH($B234&amp;$C234,'Smelter Look-up'!$J:$J,0)))</f>
        <v>576</v>
      </c>
      <c r="W234" s="263"/>
      <c r="X234" s="263">
        <f t="shared" si="34"/>
        <v>0</v>
      </c>
      <c r="Y234" s="263"/>
      <c r="Z234" s="263"/>
      <c r="AB234" s="265" t="str">
        <f t="shared" si="35"/>
        <v>TungstenGanzhou Huaxing Tungsten Products Co., Ltd.</v>
      </c>
    </row>
    <row r="235" spans="1:28" s="264" customFormat="1" ht="102">
      <c r="A235" s="207" t="s">
        <v>140</v>
      </c>
      <c r="B235" s="208" t="s">
        <v>1133</v>
      </c>
      <c r="C235" s="356" t="s">
        <v>151</v>
      </c>
      <c r="D235" s="270"/>
      <c r="E235" s="208" t="s">
        <v>1100</v>
      </c>
      <c r="F235" s="208" t="s">
        <v>140</v>
      </c>
      <c r="G235" s="208" t="s">
        <v>13320</v>
      </c>
      <c r="H235" s="357">
        <v>0</v>
      </c>
      <c r="I235" s="358" t="s">
        <v>1786</v>
      </c>
      <c r="J235" s="358" t="s">
        <v>13699</v>
      </c>
      <c r="K235" s="359"/>
      <c r="L235" s="359"/>
      <c r="M235" s="359"/>
      <c r="N235" s="359" t="s">
        <v>15769</v>
      </c>
      <c r="O235" s="359" t="s">
        <v>15769</v>
      </c>
      <c r="P235" s="360" t="s">
        <v>489</v>
      </c>
      <c r="Q235" s="361" t="s">
        <v>15768</v>
      </c>
      <c r="R235" s="208" t="str">
        <f ca="1">IF(ISERROR($V235),"",OFFSET('Smelter Look-up'!$C$4,$V235-4,0)&amp;"")</f>
        <v>Ganzhou Jiangwu Ferrotungsten Co., Ltd.</v>
      </c>
      <c r="S235" s="215" t="str">
        <f t="shared" ca="1" si="33"/>
        <v>CN</v>
      </c>
      <c r="T235" s="215" t="str">
        <f ca="1">IF(B235="","",IF(ISERROR(MATCH($J235,SorP!$B$1:$B$6230,0)),"",INDIRECT("'SorP'!$A$"&amp;MATCH($J235,SorP!$B$1:$B$6230,0))))</f>
        <v>CN-JX</v>
      </c>
      <c r="U235" s="231"/>
      <c r="V235" s="262">
        <f>IF(C235="",NA(),IF(OR(C235="Smelter not listed",C235="Smelter not yet identified"),MATCH($B235&amp;$D235,'Smelter Look-up'!$J:$J,0),MATCH($B235&amp;$C235,'Smelter Look-up'!$J:$J,0)))</f>
        <v>577</v>
      </c>
      <c r="W235" s="263"/>
      <c r="X235" s="263">
        <f t="shared" si="34"/>
        <v>0</v>
      </c>
      <c r="Y235" s="263"/>
      <c r="Z235" s="263"/>
      <c r="AB235" s="265" t="str">
        <f t="shared" si="35"/>
        <v>TungstenGanzhou Jiangwu Ferrotungsten Co., Ltd.</v>
      </c>
    </row>
    <row r="236" spans="1:28" s="264" customFormat="1" ht="89.25">
      <c r="A236" s="207" t="s">
        <v>393</v>
      </c>
      <c r="B236" s="208" t="s">
        <v>1133</v>
      </c>
      <c r="C236" s="356" t="s">
        <v>392</v>
      </c>
      <c r="D236" s="270"/>
      <c r="E236" s="208" t="s">
        <v>1100</v>
      </c>
      <c r="F236" s="208" t="s">
        <v>393</v>
      </c>
      <c r="G236" s="208" t="s">
        <v>13320</v>
      </c>
      <c r="H236" s="357">
        <v>0</v>
      </c>
      <c r="I236" s="358" t="s">
        <v>1786</v>
      </c>
      <c r="J236" s="358" t="s">
        <v>13699</v>
      </c>
      <c r="K236" s="359"/>
      <c r="L236" s="359"/>
      <c r="M236" s="359"/>
      <c r="N236" s="359"/>
      <c r="O236" s="359"/>
      <c r="P236" s="360" t="s">
        <v>489</v>
      </c>
      <c r="Q236" s="361" t="s">
        <v>15768</v>
      </c>
      <c r="R236" s="208" t="str">
        <f ca="1">IF(ISERROR($V236),"",OFFSET('Smelter Look-up'!$C$4,$V236-4,0)&amp;"")</f>
        <v>Ganzhou Seadragon W &amp; Mo Co., Ltd.</v>
      </c>
      <c r="S236" s="215" t="str">
        <f t="shared" ca="1" si="33"/>
        <v>CN</v>
      </c>
      <c r="T236" s="215" t="str">
        <f ca="1">IF(B236="","",IF(ISERROR(MATCH($J236,SorP!$B$1:$B$6230,0)),"",INDIRECT("'SorP'!$A$"&amp;MATCH($J236,SorP!$B$1:$B$6230,0))))</f>
        <v>CN-JX</v>
      </c>
      <c r="U236" s="231"/>
      <c r="V236" s="262">
        <f>IF(C236="",NA(),IF(OR(C236="Smelter not listed",C236="Smelter not yet identified"),MATCH($B236&amp;$D236,'Smelter Look-up'!$J:$J,0),MATCH($B236&amp;$C236,'Smelter Look-up'!$J:$J,0)))</f>
        <v>578</v>
      </c>
      <c r="W236" s="263"/>
      <c r="X236" s="263">
        <f t="shared" si="34"/>
        <v>0</v>
      </c>
      <c r="Y236" s="263"/>
      <c r="Z236" s="263"/>
      <c r="AB236" s="265" t="str">
        <f t="shared" si="35"/>
        <v>TungstenGanzhou Seadragon W &amp; Mo Co., Ltd.</v>
      </c>
    </row>
    <row r="237" spans="1:28" s="264" customFormat="1" ht="76.5">
      <c r="A237" s="207" t="s">
        <v>796</v>
      </c>
      <c r="B237" s="208" t="s">
        <v>1133</v>
      </c>
      <c r="C237" s="356" t="s">
        <v>1</v>
      </c>
      <c r="D237" s="270"/>
      <c r="E237" s="208" t="s">
        <v>2456</v>
      </c>
      <c r="F237" s="208" t="s">
        <v>796</v>
      </c>
      <c r="G237" s="208" t="s">
        <v>13320</v>
      </c>
      <c r="H237" s="357">
        <v>0</v>
      </c>
      <c r="I237" s="358" t="s">
        <v>1840</v>
      </c>
      <c r="J237" s="358" t="s">
        <v>1748</v>
      </c>
      <c r="K237" s="359"/>
      <c r="L237" s="359"/>
      <c r="M237" s="359"/>
      <c r="N237" s="359" t="s">
        <v>15773</v>
      </c>
      <c r="O237" s="359" t="s">
        <v>15773</v>
      </c>
      <c r="P237" s="360" t="s">
        <v>489</v>
      </c>
      <c r="Q237" s="361" t="s">
        <v>15768</v>
      </c>
      <c r="R237" s="208" t="str">
        <f ca="1">IF(ISERROR($V237),"",OFFSET('Smelter Look-up'!$C$4,$V237-4,0)&amp;"")</f>
        <v>Global Tungsten &amp; Powders Corp.</v>
      </c>
      <c r="S237" s="215" t="str">
        <f t="shared" ca="1" si="33"/>
        <v>US</v>
      </c>
      <c r="T237" s="215" t="str">
        <f ca="1">IF(B237="","",IF(ISERROR(MATCH($J237,SorP!$B$1:$B$6230,0)),"",INDIRECT("'SorP'!$A$"&amp;MATCH($J237,SorP!$B$1:$B$6230,0))))</f>
        <v>US-PA</v>
      </c>
      <c r="U237" s="231"/>
      <c r="V237" s="262">
        <f>IF(C237="",NA(),IF(OR(C237="Smelter not listed",C237="Smelter not yet identified"),MATCH($B237&amp;$D237,'Smelter Look-up'!$J:$J,0),MATCH($B237&amp;$C237,'Smelter Look-up'!$J:$J,0)))</f>
        <v>580</v>
      </c>
      <c r="W237" s="263"/>
      <c r="X237" s="263">
        <f t="shared" si="34"/>
        <v>0</v>
      </c>
      <c r="Y237" s="263"/>
      <c r="Z237" s="263"/>
      <c r="AB237" s="265" t="str">
        <f t="shared" si="35"/>
        <v>TungstenGlobal Tungsten &amp; Powders Corp.</v>
      </c>
    </row>
    <row r="238" spans="1:28" s="264" customFormat="1" ht="89.25">
      <c r="A238" s="207" t="s">
        <v>794</v>
      </c>
      <c r="B238" s="208" t="s">
        <v>1133</v>
      </c>
      <c r="C238" s="356" t="s">
        <v>1380</v>
      </c>
      <c r="D238" s="270"/>
      <c r="E238" s="208" t="s">
        <v>1100</v>
      </c>
      <c r="F238" s="208" t="s">
        <v>794</v>
      </c>
      <c r="G238" s="208" t="s">
        <v>13320</v>
      </c>
      <c r="H238" s="357">
        <v>0</v>
      </c>
      <c r="I238" s="358" t="s">
        <v>1838</v>
      </c>
      <c r="J238" s="358" t="s">
        <v>13704</v>
      </c>
      <c r="K238" s="359"/>
      <c r="L238" s="359"/>
      <c r="M238" s="359"/>
      <c r="N238" s="359"/>
      <c r="O238" s="359"/>
      <c r="P238" s="360" t="s">
        <v>489</v>
      </c>
      <c r="Q238" s="361" t="s">
        <v>15768</v>
      </c>
      <c r="R238" s="208" t="str">
        <f ca="1">IF(ISERROR($V238),"",OFFSET('Smelter Look-up'!$C$4,$V238-4,0)&amp;"")</f>
        <v>Guangdong Xianglu Tungsten Co., Ltd.</v>
      </c>
      <c r="S238" s="215" t="str">
        <f t="shared" ca="1" si="33"/>
        <v>CN</v>
      </c>
      <c r="T238" s="215" t="str">
        <f ca="1">IF(B238="","",IF(ISERROR(MATCH($J238,SorP!$B$1:$B$6230,0)),"",INDIRECT("'SorP'!$A$"&amp;MATCH($J238,SorP!$B$1:$B$6230,0))))</f>
        <v>CN-GD</v>
      </c>
      <c r="U238" s="231"/>
      <c r="V238" s="262">
        <f>IF(C238="",NA(),IF(OR(C238="Smelter not listed",C238="Smelter not yet identified"),MATCH($B238&amp;$D238,'Smelter Look-up'!$J:$J,0),MATCH($B238&amp;$C238,'Smelter Look-up'!$J:$J,0)))</f>
        <v>582</v>
      </c>
      <c r="W238" s="263"/>
      <c r="X238" s="263">
        <f t="shared" si="34"/>
        <v>0</v>
      </c>
      <c r="Y238" s="263"/>
      <c r="Z238" s="263"/>
      <c r="AB238" s="265" t="str">
        <f t="shared" si="35"/>
        <v>TungstenGuangdong Xianglu Tungsten Co., Ltd.</v>
      </c>
    </row>
    <row r="239" spans="1:28" s="264" customFormat="1" ht="76.5">
      <c r="A239" s="207" t="s">
        <v>1429</v>
      </c>
      <c r="B239" s="208" t="s">
        <v>1133</v>
      </c>
      <c r="C239" s="356" t="s">
        <v>2357</v>
      </c>
      <c r="D239" s="270"/>
      <c r="E239" s="208" t="s">
        <v>1101</v>
      </c>
      <c r="F239" s="208" t="s">
        <v>1429</v>
      </c>
      <c r="G239" s="208" t="s">
        <v>13320</v>
      </c>
      <c r="H239" s="357">
        <v>0</v>
      </c>
      <c r="I239" s="358" t="s">
        <v>1761</v>
      </c>
      <c r="J239" s="358" t="s">
        <v>1550</v>
      </c>
      <c r="K239" s="359"/>
      <c r="L239" s="359"/>
      <c r="M239" s="359"/>
      <c r="N239" s="359" t="s">
        <v>15774</v>
      </c>
      <c r="O239" s="359" t="s">
        <v>15774</v>
      </c>
      <c r="P239" s="360" t="s">
        <v>489</v>
      </c>
      <c r="Q239" s="361" t="s">
        <v>15768</v>
      </c>
      <c r="R239" s="208" t="str">
        <f ca="1">IF(ISERROR($V239),"",OFFSET('Smelter Look-up'!$C$4,$V239-4,0)&amp;"")</f>
        <v>TANIOBIS Smelting GmbH &amp; Co. KG</v>
      </c>
      <c r="S239" s="215" t="str">
        <f t="shared" ca="1" si="33"/>
        <v>DE</v>
      </c>
      <c r="T239" s="215" t="str">
        <f ca="1">IF(B239="","",IF(ISERROR(MATCH($J239,SorP!$B$1:$B$6230,0)),"",INDIRECT("'SorP'!$A$"&amp;MATCH($J239,SorP!$B$1:$B$6230,0))))</f>
        <v>DE-BW</v>
      </c>
      <c r="U239" s="231"/>
      <c r="V239" s="262">
        <f>IF(C239="",NA(),IF(OR(C239="Smelter not listed",C239="Smelter not yet identified"),MATCH($B239&amp;$D239,'Smelter Look-up'!$J:$J,0),MATCH($B239&amp;$C239,'Smelter Look-up'!$J:$J,0)))</f>
        <v>583</v>
      </c>
      <c r="W239" s="263"/>
      <c r="X239" s="263">
        <f t="shared" si="34"/>
        <v>0</v>
      </c>
      <c r="Y239" s="263"/>
      <c r="Z239" s="263"/>
      <c r="AB239" s="265" t="str">
        <f t="shared" si="35"/>
        <v>TungstenH.C. Starck Smelting GmbH &amp; Co. KG</v>
      </c>
    </row>
    <row r="240" spans="1:28" s="264" customFormat="1" ht="63.75">
      <c r="A240" s="207" t="s">
        <v>1428</v>
      </c>
      <c r="B240" s="208" t="s">
        <v>1133</v>
      </c>
      <c r="C240" s="356" t="s">
        <v>2560</v>
      </c>
      <c r="D240" s="270"/>
      <c r="E240" s="208" t="s">
        <v>1101</v>
      </c>
      <c r="F240" s="208" t="s">
        <v>1428</v>
      </c>
      <c r="G240" s="208" t="s">
        <v>13320</v>
      </c>
      <c r="H240" s="357">
        <v>0</v>
      </c>
      <c r="I240" s="358" t="s">
        <v>1760</v>
      </c>
      <c r="J240" s="358" t="s">
        <v>4270</v>
      </c>
      <c r="K240" s="359"/>
      <c r="L240" s="359"/>
      <c r="M240" s="359"/>
      <c r="N240" s="359" t="s">
        <v>15769</v>
      </c>
      <c r="O240" s="359" t="s">
        <v>15769</v>
      </c>
      <c r="P240" s="360" t="s">
        <v>489</v>
      </c>
      <c r="Q240" s="361" t="s">
        <v>15768</v>
      </c>
      <c r="R240" s="208" t="str">
        <f ca="1">IF(ISERROR($V240),"",OFFSET('Smelter Look-up'!$C$4,$V240-4,0)&amp;"")</f>
        <v>H.C. Starck Tungsten GmbH</v>
      </c>
      <c r="S240" s="215" t="str">
        <f t="shared" ca="1" si="33"/>
        <v>DE</v>
      </c>
      <c r="T240" s="215" t="str">
        <f ca="1">IF(B240="","",IF(ISERROR(MATCH($J240,SorP!$B$1:$B$6230,0)),"",INDIRECT("'SorP'!$A$"&amp;MATCH($J240,SorP!$B$1:$B$6230,0))))</f>
        <v>DE-NI</v>
      </c>
      <c r="U240" s="231"/>
      <c r="V240" s="262">
        <f>IF(C240="",NA(),IF(OR(C240="Smelter not listed",C240="Smelter not yet identified"),MATCH($B240&amp;$D240,'Smelter Look-up'!$J:$J,0),MATCH($B240&amp;$C240,'Smelter Look-up'!$J:$J,0)))</f>
        <v>584</v>
      </c>
      <c r="W240" s="263"/>
      <c r="X240" s="263">
        <f t="shared" si="34"/>
        <v>0</v>
      </c>
      <c r="Y240" s="263"/>
      <c r="Z240" s="263"/>
      <c r="AB240" s="265" t="str">
        <f t="shared" si="35"/>
        <v>TungstenH.C. Starck Tungsten GmbH</v>
      </c>
    </row>
    <row r="241" spans="1:28" s="264" customFormat="1" ht="114.75">
      <c r="A241" s="207" t="s">
        <v>798</v>
      </c>
      <c r="B241" s="208" t="s">
        <v>1133</v>
      </c>
      <c r="C241" s="356" t="s">
        <v>1381</v>
      </c>
      <c r="D241" s="270"/>
      <c r="E241" s="208" t="s">
        <v>1100</v>
      </c>
      <c r="F241" s="208" t="s">
        <v>798</v>
      </c>
      <c r="G241" s="208" t="s">
        <v>13320</v>
      </c>
      <c r="H241" s="357">
        <v>0</v>
      </c>
      <c r="I241" s="358" t="s">
        <v>1751</v>
      </c>
      <c r="J241" s="358" t="s">
        <v>13703</v>
      </c>
      <c r="K241" s="359"/>
      <c r="L241" s="359"/>
      <c r="M241" s="359"/>
      <c r="N241" s="359"/>
      <c r="O241" s="359"/>
      <c r="P241" s="360" t="s">
        <v>489</v>
      </c>
      <c r="Q241" s="361" t="s">
        <v>15768</v>
      </c>
      <c r="R241" s="208" t="str">
        <f ca="1">IF(ISERROR($V241),"",OFFSET('Smelter Look-up'!$C$4,$V241-4,0)&amp;"")</f>
        <v>Hunan Chunchang Nonferrous Metals Co., Ltd.</v>
      </c>
      <c r="S241" s="215" t="str">
        <f t="shared" ca="1" si="33"/>
        <v>CN</v>
      </c>
      <c r="T241" s="215" t="str">
        <f ca="1">IF(B241="","",IF(ISERROR(MATCH($J241,SorP!$B$1:$B$6230,0)),"",INDIRECT("'SorP'!$A$"&amp;MATCH($J241,SorP!$B$1:$B$6230,0))))</f>
        <v>CN-HN</v>
      </c>
      <c r="U241" s="231"/>
      <c r="V241" s="262">
        <f>IF(C241="",NA(),IF(OR(C241="Smelter not listed",C241="Smelter not yet identified"),MATCH($B241&amp;$D241,'Smelter Look-up'!$J:$J,0),MATCH($B241&amp;$C241,'Smelter Look-up'!$J:$J,0)))</f>
        <v>590</v>
      </c>
      <c r="W241" s="263"/>
      <c r="X241" s="263">
        <f t="shared" si="34"/>
        <v>0</v>
      </c>
      <c r="Y241" s="263"/>
      <c r="Z241" s="263"/>
      <c r="AB241" s="265" t="str">
        <f t="shared" si="35"/>
        <v>TungstenHunan Chunchang Nonferrous Metals Co., Ltd.</v>
      </c>
    </row>
    <row r="242" spans="1:28" s="264" customFormat="1" ht="76.5">
      <c r="A242" s="207" t="s">
        <v>797</v>
      </c>
      <c r="B242" s="208" t="s">
        <v>1133</v>
      </c>
      <c r="C242" s="356" t="s">
        <v>2230</v>
      </c>
      <c r="D242" s="270"/>
      <c r="E242" s="208" t="s">
        <v>1100</v>
      </c>
      <c r="F242" s="208" t="s">
        <v>797</v>
      </c>
      <c r="G242" s="208" t="s">
        <v>13320</v>
      </c>
      <c r="H242" s="357">
        <v>0</v>
      </c>
      <c r="I242" s="358" t="s">
        <v>2148</v>
      </c>
      <c r="J242" s="358" t="s">
        <v>13703</v>
      </c>
      <c r="K242" s="359"/>
      <c r="L242" s="359"/>
      <c r="M242" s="359"/>
      <c r="N242" s="359"/>
      <c r="O242" s="359"/>
      <c r="P242" s="360" t="s">
        <v>489</v>
      </c>
      <c r="Q242" s="361" t="s">
        <v>15768</v>
      </c>
      <c r="R242" s="208" t="str">
        <f ca="1">IF(ISERROR($V242),"",OFFSET('Smelter Look-up'!$C$4,$V242-4,0)&amp;"")</f>
        <v>Hunan Chenzhou Mining Co., Ltd.</v>
      </c>
      <c r="S242" s="215" t="str">
        <f t="shared" ca="1" si="33"/>
        <v>CN</v>
      </c>
      <c r="T242" s="215" t="str">
        <f ca="1">IF(B242="","",IF(ISERROR(MATCH($J242,SorP!$B$1:$B$6230,0)),"",INDIRECT("'SorP'!$A$"&amp;MATCH($J242,SorP!$B$1:$B$6230,0))))</f>
        <v>CN-HN</v>
      </c>
      <c r="U242" s="231"/>
      <c r="V242" s="262">
        <f>IF(C242="",NA(),IF(OR(C242="Smelter not listed",C242="Smelter not yet identified"),MATCH($B242&amp;$D242,'Smelter Look-up'!$J:$J,0),MATCH($B242&amp;$C242,'Smelter Look-up'!$J:$J,0)))</f>
        <v>588</v>
      </c>
      <c r="W242" s="263"/>
      <c r="X242" s="263">
        <f t="shared" si="34"/>
        <v>0</v>
      </c>
      <c r="Y242" s="263"/>
      <c r="Z242" s="263"/>
      <c r="AB242" s="265" t="str">
        <f t="shared" si="35"/>
        <v>TungstenHunan Chenzhou Mining Co., Ltd.</v>
      </c>
    </row>
    <row r="243" spans="1:28" s="264" customFormat="1" ht="51">
      <c r="A243" s="207" t="s">
        <v>1858</v>
      </c>
      <c r="B243" s="208" t="s">
        <v>1133</v>
      </c>
      <c r="C243" s="356" t="s">
        <v>1857</v>
      </c>
      <c r="D243" s="270"/>
      <c r="E243" s="208" t="s">
        <v>883</v>
      </c>
      <c r="F243" s="208" t="s">
        <v>1858</v>
      </c>
      <c r="G243" s="208" t="s">
        <v>13320</v>
      </c>
      <c r="H243" s="357">
        <v>0</v>
      </c>
      <c r="I243" s="358" t="s">
        <v>1859</v>
      </c>
      <c r="J243" s="358" t="s">
        <v>10105</v>
      </c>
      <c r="K243" s="359"/>
      <c r="L243" s="359"/>
      <c r="M243" s="359"/>
      <c r="N243" s="359" t="s">
        <v>15769</v>
      </c>
      <c r="O243" s="359" t="s">
        <v>15769</v>
      </c>
      <c r="P243" s="360" t="s">
        <v>489</v>
      </c>
      <c r="Q243" s="361" t="s">
        <v>15768</v>
      </c>
      <c r="R243" s="208" t="str">
        <f ca="1">IF(ISERROR($V243),"",OFFSET('Smelter Look-up'!$C$4,$V243-4,0)&amp;"")</f>
        <v>Hydrometallurg, JSC</v>
      </c>
      <c r="S243" s="215" t="str">
        <f t="shared" ca="1" si="33"/>
        <v>RU</v>
      </c>
      <c r="T243" s="215" t="str">
        <f ca="1">IF(B243="","",IF(ISERROR(MATCH($J243,SorP!$B$1:$B$6230,0)),"",INDIRECT("'SorP'!$A$"&amp;MATCH($J243,SorP!$B$1:$B$6230,0))))</f>
        <v>RU-KB</v>
      </c>
      <c r="U243" s="231"/>
      <c r="V243" s="262">
        <f>IF(C243="",NA(),IF(OR(C243="Smelter not listed",C243="Smelter not yet identified"),MATCH($B243&amp;$D243,'Smelter Look-up'!$J:$J,0),MATCH($B243&amp;$C243,'Smelter Look-up'!$J:$J,0)))</f>
        <v>591</v>
      </c>
      <c r="W243" s="263"/>
      <c r="X243" s="263">
        <f t="shared" si="34"/>
        <v>0</v>
      </c>
      <c r="Y243" s="263"/>
      <c r="Z243" s="263"/>
      <c r="AB243" s="265" t="str">
        <f t="shared" si="35"/>
        <v>TungstenHydrometallurg, JSC</v>
      </c>
    </row>
    <row r="244" spans="1:28" s="264" customFormat="1" ht="76.5">
      <c r="A244" s="207" t="s">
        <v>799</v>
      </c>
      <c r="B244" s="208" t="s">
        <v>1133</v>
      </c>
      <c r="C244" s="356" t="s">
        <v>1382</v>
      </c>
      <c r="D244" s="270"/>
      <c r="E244" s="208" t="s">
        <v>1108</v>
      </c>
      <c r="F244" s="208" t="s">
        <v>799</v>
      </c>
      <c r="G244" s="208" t="s">
        <v>13320</v>
      </c>
      <c r="H244" s="357">
        <v>0</v>
      </c>
      <c r="I244" s="358" t="s">
        <v>2149</v>
      </c>
      <c r="J244" s="358" t="s">
        <v>1582</v>
      </c>
      <c r="K244" s="359"/>
      <c r="L244" s="359"/>
      <c r="M244" s="359"/>
      <c r="N244" s="359" t="s">
        <v>15774</v>
      </c>
      <c r="O244" s="359" t="s">
        <v>15774</v>
      </c>
      <c r="P244" s="360" t="s">
        <v>489</v>
      </c>
      <c r="Q244" s="361" t="s">
        <v>15768</v>
      </c>
      <c r="R244" s="208" t="str">
        <f ca="1">IF(ISERROR($V244),"",OFFSET('Smelter Look-up'!$C$4,$V244-4,0)&amp;"")</f>
        <v>Japan New Metals Co., Ltd.</v>
      </c>
      <c r="S244" s="215" t="str">
        <f t="shared" ca="1" si="33"/>
        <v>JP</v>
      </c>
      <c r="T244" s="215" t="str">
        <f ca="1">IF(B244="","",IF(ISERROR(MATCH($J244,SorP!$B$1:$B$6230,0)),"",INDIRECT("'SorP'!$A$"&amp;MATCH($J244,SorP!$B$1:$B$6230,0))))</f>
        <v>JP-05</v>
      </c>
      <c r="U244" s="231"/>
      <c r="V244" s="262">
        <f>IF(C244="",NA(),IF(OR(C244="Smelter not listed",C244="Smelter not yet identified"),MATCH($B244&amp;$D244,'Smelter Look-up'!$J:$J,0),MATCH($B244&amp;$C244,'Smelter Look-up'!$J:$J,0)))</f>
        <v>592</v>
      </c>
      <c r="W244" s="263"/>
      <c r="X244" s="263">
        <f t="shared" si="34"/>
        <v>0</v>
      </c>
      <c r="Y244" s="263"/>
      <c r="Z244" s="263"/>
      <c r="AB244" s="265" t="str">
        <f t="shared" si="35"/>
        <v>TungstenJapan New Metals Co., Ltd.</v>
      </c>
    </row>
    <row r="245" spans="1:28" s="264" customFormat="1" ht="114.75">
      <c r="A245" s="207" t="s">
        <v>1431</v>
      </c>
      <c r="B245" s="208" t="s">
        <v>1133</v>
      </c>
      <c r="C245" s="356" t="s">
        <v>1430</v>
      </c>
      <c r="D245" s="270"/>
      <c r="E245" s="208" t="s">
        <v>1100</v>
      </c>
      <c r="F245" s="208" t="s">
        <v>1431</v>
      </c>
      <c r="G245" s="208" t="s">
        <v>13320</v>
      </c>
      <c r="H245" s="357">
        <v>0</v>
      </c>
      <c r="I245" s="358" t="s">
        <v>1786</v>
      </c>
      <c r="J245" s="358" t="s">
        <v>13699</v>
      </c>
      <c r="K245" s="359"/>
      <c r="L245" s="359"/>
      <c r="M245" s="359"/>
      <c r="N245" s="359"/>
      <c r="O245" s="359"/>
      <c r="P245" s="360" t="s">
        <v>489</v>
      </c>
      <c r="Q245" s="361" t="s">
        <v>15768</v>
      </c>
      <c r="R245" s="208" t="str">
        <f ca="1">IF(ISERROR($V245),"",OFFSET('Smelter Look-up'!$C$4,$V245-4,0)&amp;"")</f>
        <v>Jiangwu H.C. Starck Tungsten Products Co., Ltd.</v>
      </c>
      <c r="S245" s="215" t="str">
        <f t="shared" ca="1" si="33"/>
        <v>CN</v>
      </c>
      <c r="T245" s="215" t="str">
        <f ca="1">IF(B245="","",IF(ISERROR(MATCH($J245,SorP!$B$1:$B$6230,0)),"",INDIRECT("'SorP'!$A$"&amp;MATCH($J245,SorP!$B$1:$B$6230,0))))</f>
        <v>CN-JX</v>
      </c>
      <c r="U245" s="231"/>
      <c r="V245" s="262">
        <f>IF(C245="",NA(),IF(OR(C245="Smelter not listed",C245="Smelter not yet identified"),MATCH($B245&amp;$D245,'Smelter Look-up'!$J:$J,0),MATCH($B245&amp;$C245,'Smelter Look-up'!$J:$J,0)))</f>
        <v>593</v>
      </c>
      <c r="W245" s="263"/>
      <c r="X245" s="263">
        <f t="shared" si="34"/>
        <v>0</v>
      </c>
      <c r="Y245" s="263"/>
      <c r="Z245" s="263"/>
      <c r="AB245" s="265" t="str">
        <f t="shared" si="35"/>
        <v>TungstenJiangwu H.C. Starck Tungsten Products Co., Ltd.</v>
      </c>
    </row>
    <row r="246" spans="1:28" s="264" customFormat="1" ht="76.5">
      <c r="A246" s="207" t="s">
        <v>138</v>
      </c>
      <c r="B246" s="208" t="s">
        <v>1133</v>
      </c>
      <c r="C246" s="356" t="s">
        <v>157</v>
      </c>
      <c r="D246" s="270"/>
      <c r="E246" s="208" t="s">
        <v>1100</v>
      </c>
      <c r="F246" s="208" t="s">
        <v>138</v>
      </c>
      <c r="G246" s="208" t="s">
        <v>13320</v>
      </c>
      <c r="H246" s="357">
        <v>0</v>
      </c>
      <c r="I246" s="358" t="s">
        <v>1851</v>
      </c>
      <c r="J246" s="358" t="s">
        <v>13699</v>
      </c>
      <c r="K246" s="359"/>
      <c r="L246" s="359"/>
      <c r="M246" s="359"/>
      <c r="N246" s="359"/>
      <c r="O246" s="359"/>
      <c r="P246" s="360" t="s">
        <v>489</v>
      </c>
      <c r="Q246" s="361" t="s">
        <v>15768</v>
      </c>
      <c r="R246" s="208" t="str">
        <f ca="1">IF(ISERROR($V246),"",OFFSET('Smelter Look-up'!$C$4,$V246-4,0)&amp;"")</f>
        <v>Jiangxi Gan Bei Tungsten Co., Ltd.</v>
      </c>
      <c r="S246" s="215" t="str">
        <f t="shared" ca="1" si="33"/>
        <v>CN</v>
      </c>
      <c r="T246" s="215" t="str">
        <f ca="1">IF(B246="","",IF(ISERROR(MATCH($J246,SorP!$B$1:$B$6230,0)),"",INDIRECT("'SorP'!$A$"&amp;MATCH($J246,SorP!$B$1:$B$6230,0))))</f>
        <v>CN-JX</v>
      </c>
      <c r="U246" s="231"/>
      <c r="V246" s="262">
        <f>IF(C246="",NA(),IF(OR(C246="Smelter not listed",C246="Smelter not yet identified"),MATCH($B246&amp;$D246,'Smelter Look-up'!$J:$J,0),MATCH($B246&amp;$C246,'Smelter Look-up'!$J:$J,0)))</f>
        <v>594</v>
      </c>
      <c r="W246" s="263"/>
      <c r="X246" s="263">
        <f t="shared" si="34"/>
        <v>0</v>
      </c>
      <c r="Y246" s="263"/>
      <c r="Z246" s="263"/>
      <c r="AB246" s="265" t="str">
        <f t="shared" si="35"/>
        <v>TungstenJiangxi Gan Bei Tungsten Co., Ltd.</v>
      </c>
    </row>
    <row r="247" spans="1:28" s="264" customFormat="1" ht="127.5">
      <c r="A247" s="207" t="s">
        <v>143</v>
      </c>
      <c r="B247" s="208" t="s">
        <v>1133</v>
      </c>
      <c r="C247" s="356" t="s">
        <v>154</v>
      </c>
      <c r="D247" s="270"/>
      <c r="E247" s="208" t="s">
        <v>1100</v>
      </c>
      <c r="F247" s="208" t="s">
        <v>143</v>
      </c>
      <c r="G247" s="208" t="s">
        <v>13320</v>
      </c>
      <c r="H247" s="357">
        <v>0</v>
      </c>
      <c r="I247" s="358" t="s">
        <v>1848</v>
      </c>
      <c r="J247" s="358" t="s">
        <v>13699</v>
      </c>
      <c r="K247" s="359"/>
      <c r="L247" s="359"/>
      <c r="M247" s="359"/>
      <c r="N247" s="359"/>
      <c r="O247" s="359"/>
      <c r="P247" s="360" t="s">
        <v>489</v>
      </c>
      <c r="Q247" s="361" t="s">
        <v>15768</v>
      </c>
      <c r="R247" s="208" t="str">
        <f ca="1">IF(ISERROR($V247),"",OFFSET('Smelter Look-up'!$C$4,$V247-4,0)&amp;"")</f>
        <v>Jiangxi Tonggu Non-ferrous Metallurgical &amp; Chemical Co., Ltd.</v>
      </c>
      <c r="S247" s="215" t="str">
        <f t="shared" ca="1" si="33"/>
        <v>CN</v>
      </c>
      <c r="T247" s="215" t="str">
        <f ca="1">IF(B247="","",IF(ISERROR(MATCH($J247,SorP!$B$1:$B$6230,0)),"",INDIRECT("'SorP'!$A$"&amp;MATCH($J247,SorP!$B$1:$B$6230,0))))</f>
        <v>CN-JX</v>
      </c>
      <c r="U247" s="231"/>
      <c r="V247" s="262">
        <f>IF(C247="",NA(),IF(OR(C247="Smelter not listed",C247="Smelter not yet identified"),MATCH($B247&amp;$D247,'Smelter Look-up'!$J:$J,0),MATCH($B247&amp;$C247,'Smelter Look-up'!$J:$J,0)))</f>
        <v>596</v>
      </c>
      <c r="W247" s="263"/>
      <c r="X247" s="263">
        <f t="shared" si="34"/>
        <v>0</v>
      </c>
      <c r="Y247" s="263"/>
      <c r="Z247" s="263"/>
      <c r="AB247" s="265" t="str">
        <f t="shared" si="35"/>
        <v>TungstenJiangxi Tonggu Non-ferrous Metallurgical &amp; Chemical Co., Ltd.</v>
      </c>
    </row>
    <row r="248" spans="1:28" s="264" customFormat="1" ht="114.75">
      <c r="A248" s="207" t="s">
        <v>142</v>
      </c>
      <c r="B248" s="208" t="s">
        <v>1133</v>
      </c>
      <c r="C248" s="356" t="s">
        <v>153</v>
      </c>
      <c r="D248" s="270"/>
      <c r="E248" s="208" t="s">
        <v>1100</v>
      </c>
      <c r="F248" s="208" t="s">
        <v>142</v>
      </c>
      <c r="G248" s="208" t="s">
        <v>13320</v>
      </c>
      <c r="H248" s="357">
        <v>0</v>
      </c>
      <c r="I248" s="358" t="s">
        <v>1786</v>
      </c>
      <c r="J248" s="358" t="s">
        <v>13699</v>
      </c>
      <c r="K248" s="359"/>
      <c r="L248" s="359"/>
      <c r="M248" s="359"/>
      <c r="N248" s="359"/>
      <c r="O248" s="359"/>
      <c r="P248" s="360" t="s">
        <v>489</v>
      </c>
      <c r="Q248" s="361" t="s">
        <v>15768</v>
      </c>
      <c r="R248" s="208" t="str">
        <f ca="1">IF(ISERROR($V248),"",OFFSET('Smelter Look-up'!$C$4,$V248-4,0)&amp;"")</f>
        <v>Jiangxi Xinsheng Tungsten Industry Co., Ltd.</v>
      </c>
      <c r="S248" s="215" t="str">
        <f t="shared" ca="1" si="33"/>
        <v>CN</v>
      </c>
      <c r="T248" s="215" t="str">
        <f ca="1">IF(B248="","",IF(ISERROR(MATCH($J248,SorP!$B$1:$B$6230,0)),"",INDIRECT("'SorP'!$A$"&amp;MATCH($J248,SorP!$B$1:$B$6230,0))))</f>
        <v>CN-JX</v>
      </c>
      <c r="U248" s="231"/>
      <c r="V248" s="262">
        <f>IF(C248="",NA(),IF(OR(C248="Smelter not listed",C248="Smelter not yet identified"),MATCH($B248&amp;$D248,'Smelter Look-up'!$J:$J,0),MATCH($B248&amp;$C248,'Smelter Look-up'!$J:$J,0)))</f>
        <v>599</v>
      </c>
      <c r="W248" s="263"/>
      <c r="X248" s="263">
        <f t="shared" si="34"/>
        <v>0</v>
      </c>
      <c r="Y248" s="263"/>
      <c r="Z248" s="263"/>
      <c r="AB248" s="265" t="str">
        <f t="shared" si="35"/>
        <v>TungstenJiangxi Xinsheng Tungsten Industry Co., Ltd.</v>
      </c>
    </row>
    <row r="249" spans="1:28" s="264" customFormat="1" ht="89.25">
      <c r="A249" s="207" t="s">
        <v>141</v>
      </c>
      <c r="B249" s="208" t="s">
        <v>1133</v>
      </c>
      <c r="C249" s="356" t="s">
        <v>152</v>
      </c>
      <c r="D249" s="270"/>
      <c r="E249" s="208" t="s">
        <v>1100</v>
      </c>
      <c r="F249" s="208" t="s">
        <v>141</v>
      </c>
      <c r="G249" s="208" t="s">
        <v>13320</v>
      </c>
      <c r="H249" s="357">
        <v>0</v>
      </c>
      <c r="I249" s="358" t="s">
        <v>1786</v>
      </c>
      <c r="J249" s="358" t="s">
        <v>13699</v>
      </c>
      <c r="K249" s="359"/>
      <c r="L249" s="359"/>
      <c r="M249" s="359"/>
      <c r="N249" s="359"/>
      <c r="O249" s="359"/>
      <c r="P249" s="360" t="s">
        <v>489</v>
      </c>
      <c r="Q249" s="361" t="s">
        <v>15768</v>
      </c>
      <c r="R249" s="208" t="str">
        <f ca="1">IF(ISERROR($V249),"",OFFSET('Smelter Look-up'!$C$4,$V249-4,0)&amp;"")</f>
        <v>Jiangxi Yaosheng Tungsten Co., Ltd.</v>
      </c>
      <c r="S249" s="215" t="str">
        <f t="shared" ca="1" si="33"/>
        <v>CN</v>
      </c>
      <c r="T249" s="215" t="str">
        <f ca="1">IF(B249="","",IF(ISERROR(MATCH($J249,SorP!$B$1:$B$6230,0)),"",INDIRECT("'SorP'!$A$"&amp;MATCH($J249,SorP!$B$1:$B$6230,0))))</f>
        <v>CN-JX</v>
      </c>
      <c r="U249" s="231"/>
      <c r="V249" s="262">
        <f>IF(C249="",NA(),IF(OR(C249="Smelter not listed",C249="Smelter not yet identified"),MATCH($B249&amp;$D249,'Smelter Look-up'!$J:$J,0),MATCH($B249&amp;$C249,'Smelter Look-up'!$J:$J,0)))</f>
        <v>600</v>
      </c>
      <c r="W249" s="263"/>
      <c r="X249" s="263">
        <f t="shared" si="34"/>
        <v>0</v>
      </c>
      <c r="Y249" s="263"/>
      <c r="Z249" s="263"/>
      <c r="AB249" s="265" t="str">
        <f t="shared" si="35"/>
        <v>TungstenJiangxi Yaosheng Tungsten Co., Ltd.</v>
      </c>
    </row>
    <row r="250" spans="1:28" s="264" customFormat="1" ht="51">
      <c r="A250" s="207" t="s">
        <v>801</v>
      </c>
      <c r="B250" s="208" t="s">
        <v>1133</v>
      </c>
      <c r="C250" s="356" t="s">
        <v>150</v>
      </c>
      <c r="D250" s="270"/>
      <c r="E250" s="208" t="s">
        <v>2456</v>
      </c>
      <c r="F250" s="208" t="s">
        <v>801</v>
      </c>
      <c r="G250" s="208" t="s">
        <v>13320</v>
      </c>
      <c r="H250" s="357">
        <v>0</v>
      </c>
      <c r="I250" s="358" t="s">
        <v>1842</v>
      </c>
      <c r="J250" s="358" t="s">
        <v>1768</v>
      </c>
      <c r="K250" s="359"/>
      <c r="L250" s="359"/>
      <c r="M250" s="359"/>
      <c r="N250" s="359" t="s">
        <v>15773</v>
      </c>
      <c r="O250" s="359" t="s">
        <v>15773</v>
      </c>
      <c r="P250" s="360" t="s">
        <v>489</v>
      </c>
      <c r="Q250" s="361" t="s">
        <v>15768</v>
      </c>
      <c r="R250" s="208" t="str">
        <f ca="1">IF(ISERROR($V250),"",OFFSET('Smelter Look-up'!$C$4,$V250-4,0)&amp;"")</f>
        <v>Kennametal Fallon</v>
      </c>
      <c r="S250" s="215" t="str">
        <f t="shared" ca="1" si="33"/>
        <v>US</v>
      </c>
      <c r="T250" s="215" t="str">
        <f ca="1">IF(B250="","",IF(ISERROR(MATCH($J250,SorP!$B$1:$B$6230,0)),"",INDIRECT("'SorP'!$A$"&amp;MATCH($J250,SorP!$B$1:$B$6230,0))))</f>
        <v>US-NV</v>
      </c>
      <c r="U250" s="231"/>
      <c r="V250" s="262">
        <f>IF(C250="",NA(),IF(OR(C250="Smelter not listed",C250="Smelter not yet identified"),MATCH($B250&amp;$D250,'Smelter Look-up'!$J:$J,0),MATCH($B250&amp;$C250,'Smelter Look-up'!$J:$J,0)))</f>
        <v>603</v>
      </c>
      <c r="W250" s="263"/>
      <c r="X250" s="263">
        <f t="shared" si="34"/>
        <v>0</v>
      </c>
      <c r="Y250" s="263"/>
      <c r="Z250" s="263"/>
      <c r="AB250" s="265" t="str">
        <f t="shared" si="35"/>
        <v>TungstenKennametal Fallon</v>
      </c>
    </row>
    <row r="251" spans="1:28" s="264" customFormat="1" ht="76.5">
      <c r="A251" s="207" t="s">
        <v>144</v>
      </c>
      <c r="B251" s="208" t="s">
        <v>1133</v>
      </c>
      <c r="C251" s="356" t="s">
        <v>155</v>
      </c>
      <c r="D251" s="270"/>
      <c r="E251" s="208" t="s">
        <v>1100</v>
      </c>
      <c r="F251" s="208" t="s">
        <v>144</v>
      </c>
      <c r="G251" s="208" t="s">
        <v>13320</v>
      </c>
      <c r="H251" s="357">
        <v>0</v>
      </c>
      <c r="I251" s="358" t="s">
        <v>1849</v>
      </c>
      <c r="J251" s="358" t="s">
        <v>13708</v>
      </c>
      <c r="K251" s="359"/>
      <c r="L251" s="359"/>
      <c r="M251" s="359"/>
      <c r="N251" s="359"/>
      <c r="O251" s="359"/>
      <c r="P251" s="360" t="s">
        <v>489</v>
      </c>
      <c r="Q251" s="361" t="s">
        <v>15768</v>
      </c>
      <c r="R251" s="208" t="str">
        <f ca="1">IF(ISERROR($V251),"",OFFSET('Smelter Look-up'!$C$4,$V251-4,0)&amp;"")</f>
        <v>Malipo Haiyu Tungsten Co., Ltd.</v>
      </c>
      <c r="S251" s="215" t="str">
        <f t="shared" ca="1" si="33"/>
        <v>CN</v>
      </c>
      <c r="T251" s="215" t="str">
        <f ca="1">IF(B251="","",IF(ISERROR(MATCH($J251,SorP!$B$1:$B$6230,0)),"",INDIRECT("'SorP'!$A$"&amp;MATCH($J251,SorP!$B$1:$B$6230,0))))</f>
        <v>CN-YN</v>
      </c>
      <c r="U251" s="231"/>
      <c r="V251" s="262">
        <f>IF(C251="",NA(),IF(OR(C251="Smelter not listed",C251="Smelter not yet identified"),MATCH($B251&amp;$D251,'Smelter Look-up'!$J:$J,0),MATCH($B251&amp;$C251,'Smelter Look-up'!$J:$J,0)))</f>
        <v>608</v>
      </c>
      <c r="W251" s="263"/>
      <c r="X251" s="263">
        <f t="shared" si="34"/>
        <v>0</v>
      </c>
      <c r="Y251" s="263"/>
      <c r="Z251" s="263"/>
      <c r="AB251" s="265" t="str">
        <f t="shared" si="35"/>
        <v>TungstenMalipo Haiyu Tungsten Co., Ltd.</v>
      </c>
    </row>
    <row r="252" spans="1:28" s="264" customFormat="1" ht="89.25">
      <c r="A252" s="207" t="s">
        <v>1432</v>
      </c>
      <c r="B252" s="208" t="s">
        <v>1133</v>
      </c>
      <c r="C252" s="356" t="s">
        <v>13907</v>
      </c>
      <c r="D252" s="270"/>
      <c r="E252" s="208" t="s">
        <v>892</v>
      </c>
      <c r="F252" s="208" t="s">
        <v>1432</v>
      </c>
      <c r="G252" s="208" t="s">
        <v>13320</v>
      </c>
      <c r="H252" s="357">
        <v>0</v>
      </c>
      <c r="I252" s="358" t="s">
        <v>1853</v>
      </c>
      <c r="J252" s="358" t="s">
        <v>12213</v>
      </c>
      <c r="K252" s="359"/>
      <c r="L252" s="359"/>
      <c r="M252" s="359"/>
      <c r="N252" s="359" t="s">
        <v>15773</v>
      </c>
      <c r="O252" s="359" t="s">
        <v>15773</v>
      </c>
      <c r="P252" s="360" t="s">
        <v>489</v>
      </c>
      <c r="Q252" s="361" t="s">
        <v>15768</v>
      </c>
      <c r="R252" s="208" t="str">
        <f ca="1">IF(ISERROR($V252),"",OFFSET('Smelter Look-up'!$C$4,$V252-4,0)&amp;"")</f>
        <v>Masan High-Tech Materials</v>
      </c>
      <c r="S252" s="215" t="str">
        <f t="shared" ca="1" si="33"/>
        <v>VN</v>
      </c>
      <c r="T252" s="215" t="str">
        <f ca="1">IF(B252="","",IF(ISERROR(MATCH($J252,SorP!$B$1:$B$6230,0)),"",INDIRECT("'SorP'!$A$"&amp;MATCH($J252,SorP!$B$1:$B$6230,0))))</f>
        <v>VN-69</v>
      </c>
      <c r="U252" s="231"/>
      <c r="V252" s="262">
        <f>IF(C252="",NA(),IF(OR(C252="Smelter not listed",C252="Smelter not yet identified"),MATCH($B252&amp;$D252,'Smelter Look-up'!$J:$J,0),MATCH($B252&amp;$C252,'Smelter Look-up'!$J:$J,0)))</f>
        <v>610</v>
      </c>
      <c r="W252" s="263"/>
      <c r="X252" s="263">
        <f t="shared" si="34"/>
        <v>0</v>
      </c>
      <c r="Y252" s="263"/>
      <c r="Z252" s="263"/>
      <c r="AB252" s="265" t="str">
        <f t="shared" si="35"/>
        <v>TungstenMasan Tungsten Chemical LLC (MTC)</v>
      </c>
    </row>
    <row r="253" spans="1:28" s="264" customFormat="1" ht="38.25">
      <c r="A253" s="207" t="s">
        <v>2288</v>
      </c>
      <c r="B253" s="208" t="s">
        <v>1133</v>
      </c>
      <c r="C253" s="356" t="s">
        <v>2561</v>
      </c>
      <c r="D253" s="270"/>
      <c r="E253" s="208" t="s">
        <v>883</v>
      </c>
      <c r="F253" s="208" t="s">
        <v>2288</v>
      </c>
      <c r="G253" s="208" t="s">
        <v>13320</v>
      </c>
      <c r="H253" s="357">
        <v>0</v>
      </c>
      <c r="I253" s="358" t="s">
        <v>2289</v>
      </c>
      <c r="J253" s="358" t="s">
        <v>10038</v>
      </c>
      <c r="K253" s="359"/>
      <c r="L253" s="359"/>
      <c r="M253" s="359"/>
      <c r="N253" s="359"/>
      <c r="O253" s="359"/>
      <c r="P253" s="360" t="s">
        <v>489</v>
      </c>
      <c r="Q253" s="361" t="s">
        <v>15768</v>
      </c>
      <c r="R253" s="208" t="str">
        <f ca="1">IF(ISERROR($V253),"",OFFSET('Smelter Look-up'!$C$4,$V253-4,0)&amp;"")</f>
        <v>Moliren Ltd.</v>
      </c>
      <c r="S253" s="215" t="str">
        <f t="shared" ca="1" si="33"/>
        <v>RU</v>
      </c>
      <c r="T253" s="215" t="str">
        <f ca="1">IF(B253="","",IF(ISERROR(MATCH($J253,SorP!$B$1:$B$6230,0)),"",INDIRECT("'SorP'!$A$"&amp;MATCH($J253,SorP!$B$1:$B$6230,0))))</f>
        <v>RU-MOS</v>
      </c>
      <c r="U253" s="231"/>
      <c r="V253" s="262">
        <f>IF(C253="",NA(),IF(OR(C253="Smelter not listed",C253="Smelter not yet identified"),MATCH($B253&amp;$D253,'Smelter Look-up'!$J:$J,0),MATCH($B253&amp;$C253,'Smelter Look-up'!$J:$J,0)))</f>
        <v>611</v>
      </c>
      <c r="W253" s="263"/>
      <c r="X253" s="263">
        <f t="shared" si="34"/>
        <v>0</v>
      </c>
      <c r="Y253" s="263"/>
      <c r="Z253" s="263"/>
      <c r="AB253" s="265" t="str">
        <f t="shared" si="35"/>
        <v>TungstenMoliren Ltd.</v>
      </c>
    </row>
    <row r="254" spans="1:28" s="264" customFormat="1" ht="63.75">
      <c r="A254" s="207" t="s">
        <v>1855</v>
      </c>
      <c r="B254" s="208" t="s">
        <v>1133</v>
      </c>
      <c r="C254" s="356" t="s">
        <v>1854</v>
      </c>
      <c r="D254" s="270"/>
      <c r="E254" s="208" t="s">
        <v>2456</v>
      </c>
      <c r="F254" s="208" t="s">
        <v>1855</v>
      </c>
      <c r="G254" s="208" t="s">
        <v>13320</v>
      </c>
      <c r="H254" s="357">
        <v>0</v>
      </c>
      <c r="I254" s="358" t="s">
        <v>1856</v>
      </c>
      <c r="J254" s="358" t="s">
        <v>1624</v>
      </c>
      <c r="K254" s="359"/>
      <c r="L254" s="359"/>
      <c r="M254" s="359"/>
      <c r="N254" s="359" t="s">
        <v>15769</v>
      </c>
      <c r="O254" s="359" t="s">
        <v>15769</v>
      </c>
      <c r="P254" s="360" t="s">
        <v>489</v>
      </c>
      <c r="Q254" s="361" t="s">
        <v>15768</v>
      </c>
      <c r="R254" s="208" t="str">
        <f ca="1">IF(ISERROR($V254),"",OFFSET('Smelter Look-up'!$C$4,$V254-4,0)&amp;"")</f>
        <v>Niagara Refining LLC</v>
      </c>
      <c r="S254" s="215" t="str">
        <f t="shared" ca="1" si="33"/>
        <v>US</v>
      </c>
      <c r="T254" s="215" t="str">
        <f ca="1">IF(B254="","",IF(ISERROR(MATCH($J254,SorP!$B$1:$B$6230,0)),"",INDIRECT("'SorP'!$A$"&amp;MATCH($J254,SorP!$B$1:$B$6230,0))))</f>
        <v>US-NY</v>
      </c>
      <c r="U254" s="231"/>
      <c r="V254" s="262">
        <f>IF(C254="",NA(),IF(OR(C254="Smelter not listed",C254="Smelter not yet identified"),MATCH($B254&amp;$D254,'Smelter Look-up'!$J:$J,0),MATCH($B254&amp;$C254,'Smelter Look-up'!$J:$J,0)))</f>
        <v>612</v>
      </c>
      <c r="W254" s="263"/>
      <c r="X254" s="263">
        <f t="shared" si="34"/>
        <v>0</v>
      </c>
      <c r="Y254" s="263"/>
      <c r="Z254" s="263"/>
      <c r="AB254" s="265" t="str">
        <f t="shared" si="35"/>
        <v>TungstenNiagara Refining LLC</v>
      </c>
    </row>
    <row r="255" spans="1:28" s="264" customFormat="1" ht="102">
      <c r="A255" s="207" t="s">
        <v>2290</v>
      </c>
      <c r="B255" s="208" t="s">
        <v>1133</v>
      </c>
      <c r="C255" s="356" t="s">
        <v>2366</v>
      </c>
      <c r="D255" s="270"/>
      <c r="E255" s="208" t="s">
        <v>881</v>
      </c>
      <c r="F255" s="208" t="s">
        <v>2290</v>
      </c>
      <c r="G255" s="208" t="s">
        <v>13320</v>
      </c>
      <c r="H255" s="357">
        <v>0</v>
      </c>
      <c r="I255" s="358" t="s">
        <v>2291</v>
      </c>
      <c r="J255" s="358" t="s">
        <v>2292</v>
      </c>
      <c r="K255" s="359"/>
      <c r="L255" s="359"/>
      <c r="M255" s="359"/>
      <c r="N255" s="359" t="s">
        <v>15770</v>
      </c>
      <c r="O255" s="359" t="s">
        <v>15770</v>
      </c>
      <c r="P255" s="360" t="s">
        <v>488</v>
      </c>
      <c r="Q255" s="361" t="s">
        <v>15768</v>
      </c>
      <c r="R255" s="208" t="str">
        <f ca="1">IF(ISERROR($V255),"",OFFSET('Smelter Look-up'!$C$4,$V255-4,0)&amp;"")</f>
        <v>Philippine Chuangxin Industrial Co., Inc.</v>
      </c>
      <c r="S255" s="215" t="str">
        <f t="shared" ca="1" si="33"/>
        <v>PH</v>
      </c>
      <c r="T255" s="215" t="str">
        <f ca="1">IF(B255="","",IF(ISERROR(MATCH($J255,SorP!$B$1:$B$6230,0)),"",INDIRECT("'SorP'!$A$"&amp;MATCH($J255,SorP!$B$1:$B$6230,0))))</f>
        <v>PH-BUL</v>
      </c>
      <c r="U255" s="231"/>
      <c r="V255" s="262">
        <f>IF(C255="",NA(),IF(OR(C255="Smelter not listed",C255="Smelter not yet identified"),MATCH($B255&amp;$D255,'Smelter Look-up'!$J:$J,0),MATCH($B255&amp;$C255,'Smelter Look-up'!$J:$J,0)))</f>
        <v>617</v>
      </c>
      <c r="W255" s="263"/>
      <c r="X255" s="263">
        <f t="shared" si="34"/>
        <v>0</v>
      </c>
      <c r="Y255" s="263"/>
      <c r="Z255" s="263"/>
      <c r="AB255" s="265" t="str">
        <f t="shared" si="35"/>
        <v>TungstenPhilippine Chuangxin Industrial Co., Inc.</v>
      </c>
    </row>
    <row r="256" spans="1:28" s="264" customFormat="1" ht="89.25">
      <c r="A256" s="207" t="s">
        <v>2472</v>
      </c>
      <c r="B256" s="208" t="s">
        <v>1133</v>
      </c>
      <c r="C256" s="356" t="s">
        <v>2471</v>
      </c>
      <c r="D256" s="270"/>
      <c r="E256" s="208" t="s">
        <v>883</v>
      </c>
      <c r="F256" s="208" t="s">
        <v>2472</v>
      </c>
      <c r="G256" s="208" t="s">
        <v>13320</v>
      </c>
      <c r="H256" s="357">
        <v>0</v>
      </c>
      <c r="I256" s="358" t="s">
        <v>2562</v>
      </c>
      <c r="J256" s="358" t="s">
        <v>10025</v>
      </c>
      <c r="K256" s="359"/>
      <c r="L256" s="359"/>
      <c r="M256" s="359"/>
      <c r="N256" s="359" t="s">
        <v>15769</v>
      </c>
      <c r="O256" s="359" t="s">
        <v>15769</v>
      </c>
      <c r="P256" s="360" t="s">
        <v>489</v>
      </c>
      <c r="Q256" s="361" t="s">
        <v>15768</v>
      </c>
      <c r="R256" s="208" t="str">
        <f ca="1">IF(ISERROR($V256),"",OFFSET('Smelter Look-up'!$C$4,$V256-4,0)&amp;"")</f>
        <v>Unecha Refractory metals plant</v>
      </c>
      <c r="S256" s="215" t="str">
        <f t="shared" ca="1" si="33"/>
        <v>RU</v>
      </c>
      <c r="T256" s="215" t="str">
        <f ca="1">IF(B256="","",IF(ISERROR(MATCH($J256,SorP!$B$1:$B$6230,0)),"",INDIRECT("'SorP'!$A$"&amp;MATCH($J256,SorP!$B$1:$B$6230,0))))</f>
        <v>RU-BRY</v>
      </c>
      <c r="U256" s="231"/>
      <c r="V256" s="262">
        <f>IF(C256="",NA(),IF(OR(C256="Smelter not listed",C256="Smelter not yet identified"),MATCH($B256&amp;$D256,'Smelter Look-up'!$J:$J,0),MATCH($B256&amp;$C256,'Smelter Look-up'!$J:$J,0)))</f>
        <v>619</v>
      </c>
      <c r="W256" s="263"/>
      <c r="X256" s="263">
        <f t="shared" si="34"/>
        <v>0</v>
      </c>
      <c r="Y256" s="263"/>
      <c r="Z256" s="263"/>
      <c r="AB256" s="265" t="str">
        <f t="shared" si="35"/>
        <v>TungstenUnecha Refractory metals plant</v>
      </c>
    </row>
    <row r="257" spans="1:28" s="264" customFormat="1" ht="89.25">
      <c r="A257" s="207" t="s">
        <v>802</v>
      </c>
      <c r="B257" s="208" t="s">
        <v>1133</v>
      </c>
      <c r="C257" s="356" t="s">
        <v>2563</v>
      </c>
      <c r="D257" s="270"/>
      <c r="E257" s="208" t="s">
        <v>1094</v>
      </c>
      <c r="F257" s="208" t="s">
        <v>802</v>
      </c>
      <c r="G257" s="208" t="s">
        <v>13320</v>
      </c>
      <c r="H257" s="357">
        <v>0</v>
      </c>
      <c r="I257" s="358" t="s">
        <v>1843</v>
      </c>
      <c r="J257" s="358" t="s">
        <v>2834</v>
      </c>
      <c r="K257" s="359"/>
      <c r="L257" s="359"/>
      <c r="M257" s="359"/>
      <c r="N257" s="359" t="s">
        <v>15773</v>
      </c>
      <c r="O257" s="359" t="s">
        <v>15773</v>
      </c>
      <c r="P257" s="360" t="s">
        <v>489</v>
      </c>
      <c r="Q257" s="361" t="s">
        <v>15768</v>
      </c>
      <c r="R257" s="208" t="str">
        <f ca="1">IF(ISERROR($V257),"",OFFSET('Smelter Look-up'!$C$4,$V257-4,0)&amp;"")</f>
        <v>Wolfram Bergbau und Hutten AG</v>
      </c>
      <c r="S257" s="215" t="str">
        <f t="shared" ca="1" si="33"/>
        <v>AT</v>
      </c>
      <c r="T257" s="215" t="str">
        <f ca="1">IF(B257="","",IF(ISERROR(MATCH($J257,SorP!$B$1:$B$6230,0)),"",INDIRECT("'SorP'!$A$"&amp;MATCH($J257,SorP!$B$1:$B$6230,0))))</f>
        <v>AT-6</v>
      </c>
      <c r="U257" s="231"/>
      <c r="V257" s="262">
        <f>IF(C257="",NA(),IF(OR(C257="Smelter not listed",C257="Smelter not yet identified"),MATCH($B257&amp;$D257,'Smelter Look-up'!$J:$J,0),MATCH($B257&amp;$C257,'Smelter Look-up'!$J:$J,0)))</f>
        <v>622</v>
      </c>
      <c r="W257" s="263"/>
      <c r="X257" s="263">
        <f t="shared" si="34"/>
        <v>0</v>
      </c>
      <c r="Y257" s="263"/>
      <c r="Z257" s="263"/>
      <c r="AB257" s="265" t="str">
        <f t="shared" si="35"/>
        <v>TungstenWolfram Bergbau und Hutten AG</v>
      </c>
    </row>
    <row r="258" spans="1:28" s="264" customFormat="1" ht="76.5">
      <c r="A258" s="207" t="s">
        <v>145</v>
      </c>
      <c r="B258" s="208" t="s">
        <v>1133</v>
      </c>
      <c r="C258" s="356" t="s">
        <v>156</v>
      </c>
      <c r="D258" s="270"/>
      <c r="E258" s="208" t="s">
        <v>1100</v>
      </c>
      <c r="F258" s="208" t="s">
        <v>145</v>
      </c>
      <c r="G258" s="208" t="s">
        <v>13320</v>
      </c>
      <c r="H258" s="357">
        <v>0</v>
      </c>
      <c r="I258" s="358" t="s">
        <v>1846</v>
      </c>
      <c r="J258" s="358" t="s">
        <v>13698</v>
      </c>
      <c r="K258" s="359"/>
      <c r="L258" s="359"/>
      <c r="M258" s="359"/>
      <c r="N258" s="359" t="s">
        <v>15774</v>
      </c>
      <c r="O258" s="359" t="s">
        <v>15774</v>
      </c>
      <c r="P258" s="360" t="s">
        <v>489</v>
      </c>
      <c r="Q258" s="361" t="s">
        <v>15768</v>
      </c>
      <c r="R258" s="208" t="str">
        <f ca="1">IF(ISERROR($V258),"",OFFSET('Smelter Look-up'!$C$4,$V258-4,0)&amp;"")</f>
        <v>Xiamen Tungsten (H.C.) Co., Ltd.</v>
      </c>
      <c r="S258" s="215" t="str">
        <f t="shared" ca="1" si="33"/>
        <v>CN</v>
      </c>
      <c r="T258" s="215" t="str">
        <f ca="1">IF(B258="","",IF(ISERROR(MATCH($J258,SorP!$B$1:$B$6230,0)),"",INDIRECT("'SorP'!$A$"&amp;MATCH($J258,SorP!$B$1:$B$6230,0))))</f>
        <v>CN-FJ</v>
      </c>
      <c r="U258" s="231"/>
      <c r="V258" s="262">
        <f>IF(C258="",NA(),IF(OR(C258="Smelter not listed",C258="Smelter not yet identified"),MATCH($B258&amp;$D258,'Smelter Look-up'!$J:$J,0),MATCH($B258&amp;$C258,'Smelter Look-up'!$J:$J,0)))</f>
        <v>625</v>
      </c>
      <c r="W258" s="263"/>
      <c r="X258" s="263">
        <f t="shared" si="34"/>
        <v>0</v>
      </c>
      <c r="Y258" s="263"/>
      <c r="Z258" s="263"/>
      <c r="AB258" s="265" t="str">
        <f t="shared" si="35"/>
        <v>TungstenXiamen Tungsten (H.C.) Co., Ltd.</v>
      </c>
    </row>
    <row r="259" spans="1:28" s="264" customFormat="1" ht="63.75">
      <c r="A259" s="207" t="s">
        <v>803</v>
      </c>
      <c r="B259" s="208" t="s">
        <v>1133</v>
      </c>
      <c r="C259" s="356" t="s">
        <v>1383</v>
      </c>
      <c r="D259" s="270"/>
      <c r="E259" s="208" t="s">
        <v>1100</v>
      </c>
      <c r="F259" s="208" t="s">
        <v>803</v>
      </c>
      <c r="G259" s="208" t="s">
        <v>13320</v>
      </c>
      <c r="H259" s="357">
        <v>0</v>
      </c>
      <c r="I259" s="358" t="s">
        <v>1846</v>
      </c>
      <c r="J259" s="358" t="s">
        <v>13698</v>
      </c>
      <c r="K259" s="359"/>
      <c r="L259" s="359"/>
      <c r="M259" s="359"/>
      <c r="N259" s="359" t="s">
        <v>15774</v>
      </c>
      <c r="O259" s="359" t="s">
        <v>15774</v>
      </c>
      <c r="P259" s="360" t="s">
        <v>489</v>
      </c>
      <c r="Q259" s="361" t="s">
        <v>15768</v>
      </c>
      <c r="R259" s="208" t="str">
        <f ca="1">IF(ISERROR($V259),"",OFFSET('Smelter Look-up'!$C$4,$V259-4,0)&amp;"")</f>
        <v>Xiamen Tungsten Co., Ltd.</v>
      </c>
      <c r="S259" s="215" t="str">
        <f t="shared" ca="1" si="33"/>
        <v>CN</v>
      </c>
      <c r="T259" s="215" t="str">
        <f ca="1">IF(B259="","",IF(ISERROR(MATCH($J259,SorP!$B$1:$B$6230,0)),"",INDIRECT("'SorP'!$A$"&amp;MATCH($J259,SorP!$B$1:$B$6230,0))))</f>
        <v>CN-FJ</v>
      </c>
      <c r="U259" s="231"/>
      <c r="V259" s="262">
        <f>IF(C259="",NA(),IF(OR(C259="Smelter not listed",C259="Smelter not yet identified"),MATCH($B259&amp;$D259,'Smelter Look-up'!$J:$J,0),MATCH($B259&amp;$C259,'Smelter Look-up'!$J:$J,0)))</f>
        <v>626</v>
      </c>
      <c r="W259" s="263"/>
      <c r="X259" s="263">
        <f t="shared" si="34"/>
        <v>0</v>
      </c>
      <c r="Y259" s="263"/>
      <c r="Z259" s="263"/>
      <c r="AB259" s="265" t="str">
        <f t="shared" si="35"/>
        <v>TungstenXiamen Tungsten Co., Ltd.</v>
      </c>
    </row>
    <row r="260" spans="1:28" s="264" customFormat="1" ht="140.25">
      <c r="A260" s="207" t="s">
        <v>2294</v>
      </c>
      <c r="B260" s="208" t="s">
        <v>1133</v>
      </c>
      <c r="C260" s="356" t="s">
        <v>2293</v>
      </c>
      <c r="D260" s="270"/>
      <c r="E260" s="208" t="s">
        <v>1100</v>
      </c>
      <c r="F260" s="208" t="s">
        <v>2294</v>
      </c>
      <c r="G260" s="208" t="s">
        <v>13320</v>
      </c>
      <c r="H260" s="357">
        <v>0</v>
      </c>
      <c r="I260" s="358" t="s">
        <v>1786</v>
      </c>
      <c r="J260" s="358" t="s">
        <v>13699</v>
      </c>
      <c r="K260" s="359"/>
      <c r="L260" s="359"/>
      <c r="M260" s="359"/>
      <c r="N260" s="359"/>
      <c r="O260" s="359"/>
      <c r="P260" s="360" t="s">
        <v>489</v>
      </c>
      <c r="Q260" s="361" t="s">
        <v>15768</v>
      </c>
      <c r="R260" s="208" t="str">
        <f ca="1">IF(ISERROR($V260),"",OFFSET('Smelter Look-up'!$C$4,$V260-4,0)&amp;"")</f>
        <v>Xinfeng Huarui Tungsten &amp; Molybdenum New Material Co., Ltd.</v>
      </c>
      <c r="S260" s="215" t="str">
        <f t="shared" ca="1" si="33"/>
        <v>CN</v>
      </c>
      <c r="T260" s="215" t="str">
        <f ca="1">IF(B260="","",IF(ISERROR(MATCH($J260,SorP!$B$1:$B$6230,0)),"",INDIRECT("'SorP'!$A$"&amp;MATCH($J260,SorP!$B$1:$B$6230,0))))</f>
        <v>CN-JX</v>
      </c>
      <c r="U260" s="231"/>
      <c r="V260" s="262">
        <f>IF(C260="",NA(),IF(OR(C260="Smelter not listed",C260="Smelter not yet identified"),MATCH($B260&amp;$D260,'Smelter Look-up'!$J:$J,0),MATCH($B260&amp;$C260,'Smelter Look-up'!$J:$J,0)))</f>
        <v>627</v>
      </c>
      <c r="W260" s="263"/>
      <c r="X260" s="263">
        <f t="shared" si="34"/>
        <v>0</v>
      </c>
      <c r="Y260" s="263"/>
      <c r="Z260" s="263"/>
      <c r="AB260" s="265" t="str">
        <f t="shared" si="35"/>
        <v>TungstenXinfeng Huarui Tungsten &amp; Molybdenum New Material Co., Ltd.</v>
      </c>
    </row>
    <row r="261" spans="1:28" s="264" customFormat="1" ht="114.75">
      <c r="A261" s="207" t="s">
        <v>1406</v>
      </c>
      <c r="B261" s="208" t="s">
        <v>1133</v>
      </c>
      <c r="C261" s="356" t="s">
        <v>1405</v>
      </c>
      <c r="D261" s="270"/>
      <c r="E261" s="208" t="s">
        <v>1100</v>
      </c>
      <c r="F261" s="208" t="s">
        <v>1406</v>
      </c>
      <c r="G261" s="208" t="s">
        <v>13320</v>
      </c>
      <c r="H261" s="357">
        <v>0</v>
      </c>
      <c r="I261" s="358" t="s">
        <v>1787</v>
      </c>
      <c r="J261" s="358" t="s">
        <v>13703</v>
      </c>
      <c r="K261" s="359"/>
      <c r="L261" s="359"/>
      <c r="M261" s="359"/>
      <c r="N261" s="359"/>
      <c r="O261" s="359" t="s">
        <v>12665</v>
      </c>
      <c r="P261" s="360"/>
      <c r="Q261" s="361" t="s">
        <v>15768</v>
      </c>
      <c r="R261" s="208" t="str">
        <f ca="1">IF(ISERROR($V261),"",OFFSET('Smelter Look-up'!$C$4,$V261-4,0)&amp;"")</f>
        <v>Chenzhou Diamond Tungsten Products Co., Ltd.</v>
      </c>
      <c r="S261" s="215" t="str">
        <f t="shared" ref="S261" ca="1" si="36">IF(B261="","",IF(ISERROR(MATCH($E261,CL,0)),"Unknown",INDIRECT("'C'!$A$"&amp;MATCH($E261,CL,0)+1)))</f>
        <v>CN</v>
      </c>
      <c r="T261" s="215" t="str">
        <f ca="1">IF(B261="","",IF(ISERROR(MATCH($J261,SorP!$B$1:$B$6230,0)),"",INDIRECT("'SorP'!$A$"&amp;MATCH($J261,SorP!$B$1:$B$6230,0))))</f>
        <v>CN-HN</v>
      </c>
      <c r="U261" s="231"/>
      <c r="V261" s="262">
        <f>IF(C261="",NA(),IF(OR(C261="Smelter not listed",C261="Smelter not yet identified"),MATCH($B261&amp;$D261,'Smelter Look-up'!$J:$J,0),MATCH($B261&amp;$C261,'Smelter Look-up'!$J:$J,0)))</f>
        <v>566</v>
      </c>
      <c r="W261" s="263"/>
      <c r="X261" s="263">
        <f t="shared" ref="X261" si="37">IF(AND(C261="Smelter not listed",OR(LEN(D261)=0,LEN(E261)=0)),1,0)</f>
        <v>0</v>
      </c>
      <c r="Y261" s="263"/>
      <c r="Z261" s="263"/>
      <c r="AB261" s="265" t="str">
        <f t="shared" ref="AB261" si="38">B261&amp;C261</f>
        <v>TungstenChenzhou Diamond Tungsten Products Co., Ltd.</v>
      </c>
    </row>
    <row r="262" spans="1:28" s="264" customFormat="1" ht="102">
      <c r="A262" s="207" t="s">
        <v>795</v>
      </c>
      <c r="B262" s="208" t="s">
        <v>1133</v>
      </c>
      <c r="C262" s="356" t="s">
        <v>1379</v>
      </c>
      <c r="D262" s="270"/>
      <c r="E262" s="208" t="s">
        <v>1100</v>
      </c>
      <c r="F262" s="208" t="s">
        <v>795</v>
      </c>
      <c r="G262" s="208" t="s">
        <v>13320</v>
      </c>
      <c r="H262" s="357">
        <v>0</v>
      </c>
      <c r="I262" s="358" t="s">
        <v>1786</v>
      </c>
      <c r="J262" s="358" t="s">
        <v>13699</v>
      </c>
      <c r="K262" s="359"/>
      <c r="L262" s="359"/>
      <c r="M262" s="359"/>
      <c r="N262" s="359"/>
      <c r="O262" s="359" t="s">
        <v>15780</v>
      </c>
      <c r="P262" s="360"/>
      <c r="Q262" s="361" t="s">
        <v>15768</v>
      </c>
      <c r="R262" s="208" t="str">
        <f ca="1">IF(ISERROR($V262),"",OFFSET('Smelter Look-up'!$C$4,$V262-4,0)&amp;"")</f>
        <v>Chongyi Zhangyuan Tungsten Co., Ltd.</v>
      </c>
      <c r="S262" s="215" t="str">
        <f t="shared" ref="S262:S293" ca="1" si="39">IF(B262="","",IF(ISERROR(MATCH($E262,CL,0)),"Unknown",INDIRECT("'C'!$A$"&amp;MATCH($E262,CL,0)+1)))</f>
        <v>CN</v>
      </c>
      <c r="T262" s="215" t="str">
        <f ca="1">IF(B262="","",IF(ISERROR(MATCH($J262,SorP!$B$1:$B$6230,0)),"",INDIRECT("'SorP'!$A$"&amp;MATCH($J262,SorP!$B$1:$B$6230,0))))</f>
        <v>CN-JX</v>
      </c>
      <c r="U262" s="231"/>
      <c r="V262" s="262">
        <f>IF(C262="",NA(),IF(OR(C262="Smelter not listed",C262="Smelter not yet identified"),MATCH($B262&amp;$D262,'Smelter Look-up'!$J:$J,0),MATCH($B262&amp;$C262,'Smelter Look-up'!$J:$J,0)))</f>
        <v>570</v>
      </c>
      <c r="W262" s="263"/>
      <c r="X262" s="263">
        <f t="shared" ref="X262:X293" si="40">IF(AND(C262="Smelter not listed",OR(LEN(D262)=0,LEN(E262)=0)),1,0)</f>
        <v>0</v>
      </c>
      <c r="Y262" s="263"/>
      <c r="Z262" s="263"/>
      <c r="AB262" s="265" t="str">
        <f t="shared" ref="AB262:AB293" si="41">B262&amp;C262</f>
        <v>TungstenChongyi Zhangyuan Tungsten Co., Ltd.</v>
      </c>
    </row>
    <row r="263" spans="1:28" s="264" customFormat="1" ht="114.75">
      <c r="A263" s="207" t="s">
        <v>800</v>
      </c>
      <c r="B263" s="208" t="s">
        <v>1133</v>
      </c>
      <c r="C263" s="356" t="s">
        <v>149</v>
      </c>
      <c r="D263" s="270"/>
      <c r="E263" s="208" t="s">
        <v>1100</v>
      </c>
      <c r="F263" s="208" t="s">
        <v>800</v>
      </c>
      <c r="G263" s="208" t="s">
        <v>13320</v>
      </c>
      <c r="H263" s="357">
        <v>0</v>
      </c>
      <c r="I263" s="358" t="s">
        <v>1786</v>
      </c>
      <c r="J263" s="358" t="s">
        <v>13699</v>
      </c>
      <c r="K263" s="359"/>
      <c r="L263" s="359"/>
      <c r="M263" s="359"/>
      <c r="N263" s="359"/>
      <c r="O263" s="359" t="s">
        <v>15780</v>
      </c>
      <c r="P263" s="360"/>
      <c r="Q263" s="361" t="s">
        <v>15768</v>
      </c>
      <c r="R263" s="208" t="str">
        <f ca="1">IF(ISERROR($V263),"",OFFSET('Smelter Look-up'!$C$4,$V263-4,0)&amp;"")</f>
        <v>Ganzhou Huaxing Tungsten Products Co., Ltd.</v>
      </c>
      <c r="S263" s="215" t="str">
        <f t="shared" ca="1" si="39"/>
        <v>CN</v>
      </c>
      <c r="T263" s="215" t="str">
        <f ca="1">IF(B263="","",IF(ISERROR(MATCH($J263,SorP!$B$1:$B$6230,0)),"",INDIRECT("'SorP'!$A$"&amp;MATCH($J263,SorP!$B$1:$B$6230,0))))</f>
        <v>CN-JX</v>
      </c>
      <c r="U263" s="231"/>
      <c r="V263" s="262">
        <f>IF(C263="",NA(),IF(OR(C263="Smelter not listed",C263="Smelter not yet identified"),MATCH($B263&amp;$D263,'Smelter Look-up'!$J:$J,0),MATCH($B263&amp;$C263,'Smelter Look-up'!$J:$J,0)))</f>
        <v>576</v>
      </c>
      <c r="W263" s="263"/>
      <c r="X263" s="263">
        <f t="shared" si="40"/>
        <v>0</v>
      </c>
      <c r="Y263" s="263"/>
      <c r="Z263" s="263"/>
      <c r="AB263" s="265" t="str">
        <f t="shared" si="41"/>
        <v>TungstenGanzhou Huaxing Tungsten Products Co., Ltd.</v>
      </c>
    </row>
    <row r="264" spans="1:28" s="264" customFormat="1" ht="89.25">
      <c r="A264" s="207" t="s">
        <v>393</v>
      </c>
      <c r="B264" s="208" t="s">
        <v>1133</v>
      </c>
      <c r="C264" s="356" t="s">
        <v>392</v>
      </c>
      <c r="D264" s="270"/>
      <c r="E264" s="208" t="s">
        <v>1100</v>
      </c>
      <c r="F264" s="208" t="s">
        <v>393</v>
      </c>
      <c r="G264" s="208" t="s">
        <v>13320</v>
      </c>
      <c r="H264" s="357">
        <v>0</v>
      </c>
      <c r="I264" s="358" t="s">
        <v>1786</v>
      </c>
      <c r="J264" s="358" t="s">
        <v>13699</v>
      </c>
      <c r="K264" s="359"/>
      <c r="L264" s="359"/>
      <c r="M264" s="359"/>
      <c r="N264" s="359"/>
      <c r="O264" s="359" t="s">
        <v>15780</v>
      </c>
      <c r="P264" s="360"/>
      <c r="Q264" s="361" t="s">
        <v>15768</v>
      </c>
      <c r="R264" s="208" t="str">
        <f ca="1">IF(ISERROR($V264),"",OFFSET('Smelter Look-up'!$C$4,$V264-4,0)&amp;"")</f>
        <v>Ganzhou Seadragon W &amp; Mo Co., Ltd.</v>
      </c>
      <c r="S264" s="215" t="str">
        <f t="shared" ca="1" si="39"/>
        <v>CN</v>
      </c>
      <c r="T264" s="215" t="str">
        <f ca="1">IF(B264="","",IF(ISERROR(MATCH($J264,SorP!$B$1:$B$6230,0)),"",INDIRECT("'SorP'!$A$"&amp;MATCH($J264,SorP!$B$1:$B$6230,0))))</f>
        <v>CN-JX</v>
      </c>
      <c r="U264" s="231"/>
      <c r="V264" s="262">
        <f>IF(C264="",NA(),IF(OR(C264="Smelter not listed",C264="Smelter not yet identified"),MATCH($B264&amp;$D264,'Smelter Look-up'!$J:$J,0),MATCH($B264&amp;$C264,'Smelter Look-up'!$J:$J,0)))</f>
        <v>578</v>
      </c>
      <c r="W264" s="263"/>
      <c r="X264" s="263">
        <f t="shared" si="40"/>
        <v>0</v>
      </c>
      <c r="Y264" s="263"/>
      <c r="Z264" s="263"/>
      <c r="AB264" s="265" t="str">
        <f t="shared" si="41"/>
        <v>TungstenGanzhou Seadragon W &amp; Mo Co., Ltd.</v>
      </c>
    </row>
    <row r="265" spans="1:28" s="264" customFormat="1" ht="76.5">
      <c r="A265" s="207" t="s">
        <v>796</v>
      </c>
      <c r="B265" s="208" t="s">
        <v>1133</v>
      </c>
      <c r="C265" s="356" t="s">
        <v>1</v>
      </c>
      <c r="D265" s="270"/>
      <c r="E265" s="208" t="s">
        <v>2456</v>
      </c>
      <c r="F265" s="208" t="s">
        <v>796</v>
      </c>
      <c r="G265" s="208" t="s">
        <v>13320</v>
      </c>
      <c r="H265" s="357">
        <v>0</v>
      </c>
      <c r="I265" s="358" t="s">
        <v>1840</v>
      </c>
      <c r="J265" s="358" t="s">
        <v>1748</v>
      </c>
      <c r="K265" s="359"/>
      <c r="L265" s="359"/>
      <c r="M265" s="359"/>
      <c r="N265" s="359"/>
      <c r="O265" s="359" t="s">
        <v>15781</v>
      </c>
      <c r="P265" s="360"/>
      <c r="Q265" s="361" t="s">
        <v>15768</v>
      </c>
      <c r="R265" s="208" t="str">
        <f ca="1">IF(ISERROR($V265),"",OFFSET('Smelter Look-up'!$C$4,$V265-4,0)&amp;"")</f>
        <v>Global Tungsten &amp; Powders Corp.</v>
      </c>
      <c r="S265" s="215" t="str">
        <f t="shared" ca="1" si="39"/>
        <v>US</v>
      </c>
      <c r="T265" s="215" t="str">
        <f ca="1">IF(B265="","",IF(ISERROR(MATCH($J265,SorP!$B$1:$B$6230,0)),"",INDIRECT("'SorP'!$A$"&amp;MATCH($J265,SorP!$B$1:$B$6230,0))))</f>
        <v>US-PA</v>
      </c>
      <c r="U265" s="231"/>
      <c r="V265" s="262">
        <f>IF(C265="",NA(),IF(OR(C265="Smelter not listed",C265="Smelter not yet identified"),MATCH($B265&amp;$D265,'Smelter Look-up'!$J:$J,0),MATCH($B265&amp;$C265,'Smelter Look-up'!$J:$J,0)))</f>
        <v>580</v>
      </c>
      <c r="W265" s="263"/>
      <c r="X265" s="263">
        <f t="shared" si="40"/>
        <v>0</v>
      </c>
      <c r="Y265" s="263"/>
      <c r="Z265" s="263"/>
      <c r="AB265" s="265" t="str">
        <f t="shared" si="41"/>
        <v>TungstenGlobal Tungsten &amp; Powders Corp.</v>
      </c>
    </row>
    <row r="266" spans="1:28" s="264" customFormat="1" ht="114.75">
      <c r="A266" s="207" t="s">
        <v>798</v>
      </c>
      <c r="B266" s="208" t="s">
        <v>1133</v>
      </c>
      <c r="C266" s="356" t="s">
        <v>1381</v>
      </c>
      <c r="D266" s="270"/>
      <c r="E266" s="208" t="s">
        <v>1100</v>
      </c>
      <c r="F266" s="208" t="s">
        <v>798</v>
      </c>
      <c r="G266" s="208" t="s">
        <v>13320</v>
      </c>
      <c r="H266" s="357">
        <v>0</v>
      </c>
      <c r="I266" s="358" t="s">
        <v>1751</v>
      </c>
      <c r="J266" s="358" t="s">
        <v>13703</v>
      </c>
      <c r="K266" s="359"/>
      <c r="L266" s="359"/>
      <c r="M266" s="359"/>
      <c r="N266" s="359"/>
      <c r="O266" s="359" t="s">
        <v>15780</v>
      </c>
      <c r="P266" s="360"/>
      <c r="Q266" s="361" t="s">
        <v>15768</v>
      </c>
      <c r="R266" s="208" t="str">
        <f ca="1">IF(ISERROR($V266),"",OFFSET('Smelter Look-up'!$C$4,$V266-4,0)&amp;"")</f>
        <v>Hunan Chunchang Nonferrous Metals Co., Ltd.</v>
      </c>
      <c r="S266" s="215" t="str">
        <f t="shared" ca="1" si="39"/>
        <v>CN</v>
      </c>
      <c r="T266" s="215" t="str">
        <f ca="1">IF(B266="","",IF(ISERROR(MATCH($J266,SorP!$B$1:$B$6230,0)),"",INDIRECT("'SorP'!$A$"&amp;MATCH($J266,SorP!$B$1:$B$6230,0))))</f>
        <v>CN-HN</v>
      </c>
      <c r="U266" s="231"/>
      <c r="V266" s="262">
        <f>IF(C266="",NA(),IF(OR(C266="Smelter not listed",C266="Smelter not yet identified"),MATCH($B266&amp;$D266,'Smelter Look-up'!$J:$J,0),MATCH($B266&amp;$C266,'Smelter Look-up'!$J:$J,0)))</f>
        <v>590</v>
      </c>
      <c r="W266" s="263"/>
      <c r="X266" s="263">
        <f t="shared" si="40"/>
        <v>0</v>
      </c>
      <c r="Y266" s="263"/>
      <c r="Z266" s="263"/>
      <c r="AB266" s="265" t="str">
        <f t="shared" si="41"/>
        <v>TungstenHunan Chunchang Nonferrous Metals Co., Ltd.</v>
      </c>
    </row>
    <row r="267" spans="1:28" s="264" customFormat="1" ht="76.5">
      <c r="A267" s="207" t="s">
        <v>799</v>
      </c>
      <c r="B267" s="208" t="s">
        <v>1133</v>
      </c>
      <c r="C267" s="356" t="s">
        <v>1382</v>
      </c>
      <c r="D267" s="270"/>
      <c r="E267" s="208" t="s">
        <v>1108</v>
      </c>
      <c r="F267" s="208" t="s">
        <v>799</v>
      </c>
      <c r="G267" s="208" t="s">
        <v>13320</v>
      </c>
      <c r="H267" s="357">
        <v>0</v>
      </c>
      <c r="I267" s="358" t="s">
        <v>2149</v>
      </c>
      <c r="J267" s="358" t="s">
        <v>1582</v>
      </c>
      <c r="K267" s="359"/>
      <c r="L267" s="359"/>
      <c r="M267" s="359"/>
      <c r="N267" s="359"/>
      <c r="O267" s="359" t="s">
        <v>15782</v>
      </c>
      <c r="P267" s="360"/>
      <c r="Q267" s="361" t="s">
        <v>15768</v>
      </c>
      <c r="R267" s="208" t="str">
        <f ca="1">IF(ISERROR($V267),"",OFFSET('Smelter Look-up'!$C$4,$V267-4,0)&amp;"")</f>
        <v>Japan New Metals Co., Ltd.</v>
      </c>
      <c r="S267" s="215" t="str">
        <f t="shared" ca="1" si="39"/>
        <v>JP</v>
      </c>
      <c r="T267" s="215" t="str">
        <f ca="1">IF(B267="","",IF(ISERROR(MATCH($J267,SorP!$B$1:$B$6230,0)),"",INDIRECT("'SorP'!$A$"&amp;MATCH($J267,SorP!$B$1:$B$6230,0))))</f>
        <v>JP-05</v>
      </c>
      <c r="U267" s="231"/>
      <c r="V267" s="262">
        <f>IF(C267="",NA(),IF(OR(C267="Smelter not listed",C267="Smelter not yet identified"),MATCH($B267&amp;$D267,'Smelter Look-up'!$J:$J,0),MATCH($B267&amp;$C267,'Smelter Look-up'!$J:$J,0)))</f>
        <v>592</v>
      </c>
      <c r="W267" s="263"/>
      <c r="X267" s="263">
        <f t="shared" si="40"/>
        <v>0</v>
      </c>
      <c r="Y267" s="263"/>
      <c r="Z267" s="263"/>
      <c r="AB267" s="265" t="str">
        <f t="shared" si="41"/>
        <v>TungstenJapan New Metals Co., Ltd.</v>
      </c>
    </row>
    <row r="268" spans="1:28" s="264" customFormat="1" ht="114.75">
      <c r="A268" s="207" t="s">
        <v>1431</v>
      </c>
      <c r="B268" s="208" t="s">
        <v>1133</v>
      </c>
      <c r="C268" s="356" t="s">
        <v>1430</v>
      </c>
      <c r="D268" s="270"/>
      <c r="E268" s="208" t="s">
        <v>1100</v>
      </c>
      <c r="F268" s="208" t="s">
        <v>1431</v>
      </c>
      <c r="G268" s="208" t="s">
        <v>13320</v>
      </c>
      <c r="H268" s="357">
        <v>0</v>
      </c>
      <c r="I268" s="358" t="s">
        <v>1786</v>
      </c>
      <c r="J268" s="358" t="s">
        <v>13699</v>
      </c>
      <c r="K268" s="359"/>
      <c r="L268" s="359"/>
      <c r="M268" s="359"/>
      <c r="N268" s="359"/>
      <c r="O268" s="359" t="s">
        <v>15780</v>
      </c>
      <c r="P268" s="360"/>
      <c r="Q268" s="361" t="s">
        <v>15768</v>
      </c>
      <c r="R268" s="208" t="str">
        <f ca="1">IF(ISERROR($V268),"",OFFSET('Smelter Look-up'!$C$4,$V268-4,0)&amp;"")</f>
        <v>Jiangwu H.C. Starck Tungsten Products Co., Ltd.</v>
      </c>
      <c r="S268" s="215" t="str">
        <f t="shared" ca="1" si="39"/>
        <v>CN</v>
      </c>
      <c r="T268" s="215" t="str">
        <f ca="1">IF(B268="","",IF(ISERROR(MATCH($J268,SorP!$B$1:$B$6230,0)),"",INDIRECT("'SorP'!$A$"&amp;MATCH($J268,SorP!$B$1:$B$6230,0))))</f>
        <v>CN-JX</v>
      </c>
      <c r="U268" s="231"/>
      <c r="V268" s="262">
        <f>IF(C268="",NA(),IF(OR(C268="Smelter not listed",C268="Smelter not yet identified"),MATCH($B268&amp;$D268,'Smelter Look-up'!$J:$J,0),MATCH($B268&amp;$C268,'Smelter Look-up'!$J:$J,0)))</f>
        <v>593</v>
      </c>
      <c r="W268" s="263"/>
      <c r="X268" s="263">
        <f t="shared" si="40"/>
        <v>0</v>
      </c>
      <c r="Y268" s="263"/>
      <c r="Z268" s="263"/>
      <c r="AB268" s="265" t="str">
        <f t="shared" si="41"/>
        <v>TungstenJiangwu H.C. Starck Tungsten Products Co., Ltd.</v>
      </c>
    </row>
    <row r="269" spans="1:28" s="264" customFormat="1" ht="76.5">
      <c r="A269" s="207" t="s">
        <v>145</v>
      </c>
      <c r="B269" s="208" t="s">
        <v>1133</v>
      </c>
      <c r="C269" s="356" t="s">
        <v>156</v>
      </c>
      <c r="D269" s="270"/>
      <c r="E269" s="208" t="s">
        <v>1100</v>
      </c>
      <c r="F269" s="208" t="s">
        <v>145</v>
      </c>
      <c r="G269" s="208" t="s">
        <v>13320</v>
      </c>
      <c r="H269" s="357">
        <v>0</v>
      </c>
      <c r="I269" s="358" t="s">
        <v>1846</v>
      </c>
      <c r="J269" s="358" t="s">
        <v>13698</v>
      </c>
      <c r="K269" s="359"/>
      <c r="L269" s="359"/>
      <c r="M269" s="359"/>
      <c r="N269" s="359"/>
      <c r="O269" s="359" t="s">
        <v>15783</v>
      </c>
      <c r="P269" s="360"/>
      <c r="Q269" s="361" t="s">
        <v>15768</v>
      </c>
      <c r="R269" s="208" t="str">
        <f ca="1">IF(ISERROR($V269),"",OFFSET('Smelter Look-up'!$C$4,$V269-4,0)&amp;"")</f>
        <v>Xiamen Tungsten (H.C.) Co., Ltd.</v>
      </c>
      <c r="S269" s="215" t="str">
        <f t="shared" ca="1" si="39"/>
        <v>CN</v>
      </c>
      <c r="T269" s="215" t="str">
        <f ca="1">IF(B269="","",IF(ISERROR(MATCH($J269,SorP!$B$1:$B$6230,0)),"",INDIRECT("'SorP'!$A$"&amp;MATCH($J269,SorP!$B$1:$B$6230,0))))</f>
        <v>CN-FJ</v>
      </c>
      <c r="U269" s="231"/>
      <c r="V269" s="262">
        <f>IF(C269="",NA(),IF(OR(C269="Smelter not listed",C269="Smelter not yet identified"),MATCH($B269&amp;$D269,'Smelter Look-up'!$J:$J,0),MATCH($B269&amp;$C269,'Smelter Look-up'!$J:$J,0)))</f>
        <v>625</v>
      </c>
      <c r="W269" s="263"/>
      <c r="X269" s="263">
        <f t="shared" si="40"/>
        <v>0</v>
      </c>
      <c r="Y269" s="263"/>
      <c r="Z269" s="263"/>
      <c r="AB269" s="265" t="str">
        <f t="shared" si="41"/>
        <v>TungstenXiamen Tungsten (H.C.) Co., Ltd.</v>
      </c>
    </row>
    <row r="270" spans="1:28" s="264" customFormat="1" ht="63.75">
      <c r="A270" s="207" t="s">
        <v>803</v>
      </c>
      <c r="B270" s="208" t="s">
        <v>1133</v>
      </c>
      <c r="C270" s="356" t="s">
        <v>1383</v>
      </c>
      <c r="D270" s="270"/>
      <c r="E270" s="208" t="s">
        <v>1100</v>
      </c>
      <c r="F270" s="208" t="s">
        <v>803</v>
      </c>
      <c r="G270" s="208" t="s">
        <v>13320</v>
      </c>
      <c r="H270" s="357">
        <v>0</v>
      </c>
      <c r="I270" s="358" t="s">
        <v>1846</v>
      </c>
      <c r="J270" s="358" t="s">
        <v>13698</v>
      </c>
      <c r="K270" s="359"/>
      <c r="L270" s="359"/>
      <c r="M270" s="359"/>
      <c r="N270" s="359"/>
      <c r="O270" s="359" t="s">
        <v>15784</v>
      </c>
      <c r="P270" s="360"/>
      <c r="Q270" s="361" t="s">
        <v>15768</v>
      </c>
      <c r="R270" s="208" t="str">
        <f ca="1">IF(ISERROR($V270),"",OFFSET('Smelter Look-up'!$C$4,$V270-4,0)&amp;"")</f>
        <v>Xiamen Tungsten Co., Ltd.</v>
      </c>
      <c r="S270" s="215" t="str">
        <f t="shared" ca="1" si="39"/>
        <v>CN</v>
      </c>
      <c r="T270" s="215" t="str">
        <f ca="1">IF(B270="","",IF(ISERROR(MATCH($J270,SorP!$B$1:$B$6230,0)),"",INDIRECT("'SorP'!$A$"&amp;MATCH($J270,SorP!$B$1:$B$6230,0))))</f>
        <v>CN-FJ</v>
      </c>
      <c r="U270" s="231"/>
      <c r="V270" s="262">
        <f>IF(C270="",NA(),IF(OR(C270="Smelter not listed",C270="Smelter not yet identified"),MATCH($B270&amp;$D270,'Smelter Look-up'!$J:$J,0),MATCH($B270&amp;$C270,'Smelter Look-up'!$J:$J,0)))</f>
        <v>626</v>
      </c>
      <c r="W270" s="263"/>
      <c r="X270" s="263">
        <f t="shared" si="40"/>
        <v>0</v>
      </c>
      <c r="Y270" s="263"/>
      <c r="Z270" s="263"/>
      <c r="AB270" s="265" t="str">
        <f t="shared" si="41"/>
        <v>TungstenXiamen Tungsten Co., Ltd.</v>
      </c>
    </row>
    <row r="271" spans="1:28" s="264" customFormat="1" ht="76.5">
      <c r="A271" s="207" t="s">
        <v>774</v>
      </c>
      <c r="B271" s="208" t="s">
        <v>1131</v>
      </c>
      <c r="C271" s="356" t="s">
        <v>821</v>
      </c>
      <c r="D271" s="270"/>
      <c r="E271" s="208" t="s">
        <v>1115</v>
      </c>
      <c r="F271" s="208" t="s">
        <v>774</v>
      </c>
      <c r="G271" s="208" t="s">
        <v>13320</v>
      </c>
      <c r="H271" s="357">
        <v>0</v>
      </c>
      <c r="I271" s="358" t="s">
        <v>1793</v>
      </c>
      <c r="J271" s="358" t="s">
        <v>8739</v>
      </c>
      <c r="K271" s="359"/>
      <c r="L271" s="359"/>
      <c r="M271" s="359"/>
      <c r="N271" s="359"/>
      <c r="O271" s="359"/>
      <c r="P271" s="360"/>
      <c r="Q271" s="361" t="s">
        <v>15785</v>
      </c>
      <c r="R271" s="208" t="str">
        <f ca="1">IF(ISERROR($V271),"",OFFSET('Smelter Look-up'!$C$4,$V271-4,0)&amp;"")</f>
        <v>Malaysia Smelting Corporation (MSC)</v>
      </c>
      <c r="S271" s="215" t="str">
        <f t="shared" ca="1" si="39"/>
        <v>MY</v>
      </c>
      <c r="T271" s="215" t="str">
        <f ca="1">IF(B271="","",IF(ISERROR(MATCH($J271,SorP!$B$1:$B$6230,0)),"",INDIRECT("'SorP'!$A$"&amp;MATCH($J271,SorP!$B$1:$B$6230,0))))</f>
        <v>MY-07</v>
      </c>
      <c r="U271" s="231"/>
      <c r="V271" s="262">
        <f>IF(C271="",NA(),IF(OR(C271="Smelter not listed",C271="Smelter not yet identified"),MATCH($B271&amp;$D271,'Smelter Look-up'!$J:$J,0),MATCH($B271&amp;$C271,'Smelter Look-up'!$J:$J,0)))</f>
        <v>457</v>
      </c>
      <c r="W271" s="263"/>
      <c r="X271" s="263">
        <f t="shared" si="40"/>
        <v>0</v>
      </c>
      <c r="Y271" s="263"/>
      <c r="Z271" s="263"/>
      <c r="AB271" s="265" t="str">
        <f t="shared" si="41"/>
        <v>TinMalaysia Smelting Corporation (MSC)</v>
      </c>
    </row>
    <row r="272" spans="1:28" s="264" customFormat="1" ht="51">
      <c r="A272" s="207" t="s">
        <v>784</v>
      </c>
      <c r="B272" s="208" t="s">
        <v>1131</v>
      </c>
      <c r="C272" s="356" t="s">
        <v>13881</v>
      </c>
      <c r="D272" s="270"/>
      <c r="E272" s="208" t="s">
        <v>1105</v>
      </c>
      <c r="F272" s="208" t="s">
        <v>784</v>
      </c>
      <c r="G272" s="208" t="s">
        <v>13320</v>
      </c>
      <c r="H272" s="357">
        <v>0</v>
      </c>
      <c r="I272" s="358" t="s">
        <v>1807</v>
      </c>
      <c r="J272" s="358" t="s">
        <v>12931</v>
      </c>
      <c r="K272" s="359"/>
      <c r="L272" s="359"/>
      <c r="M272" s="359"/>
      <c r="N272" s="359"/>
      <c r="O272" s="359"/>
      <c r="P272" s="360"/>
      <c r="Q272" s="361"/>
      <c r="R272" s="208" t="str">
        <f ca="1">IF(ISERROR($V272),"",OFFSET('Smelter Look-up'!$C$4,$V272-4,0)&amp;"")</f>
        <v>PT Timah Tbk Mentok</v>
      </c>
      <c r="S272" s="215" t="str">
        <f t="shared" ca="1" si="39"/>
        <v>ID</v>
      </c>
      <c r="T272" s="215" t="str">
        <f ca="1">IF(B272="","",IF(ISERROR(MATCH($J272,SorP!$B$1:$B$6230,0)),"",INDIRECT("'SorP'!$A$"&amp;MATCH($J272,SorP!$B$1:$B$6230,0))))</f>
        <v>ID-BB</v>
      </c>
      <c r="U272" s="231"/>
      <c r="V272" s="262">
        <f>IF(C272="",NA(),IF(OR(C272="Smelter not listed",C272="Smelter not yet identified"),MATCH($B272&amp;$D272,'Smelter Look-up'!$J:$J,0),MATCH($B272&amp;$C272,'Smelter Look-up'!$J:$J,0)))</f>
        <v>509</v>
      </c>
      <c r="W272" s="263"/>
      <c r="X272" s="263">
        <f t="shared" si="40"/>
        <v>0</v>
      </c>
      <c r="Y272" s="263"/>
      <c r="Z272" s="263"/>
      <c r="AB272" s="265" t="str">
        <f t="shared" si="41"/>
        <v>TinPT Timah Tbk Mentok</v>
      </c>
    </row>
    <row r="273" spans="1:28" s="264" customFormat="1" ht="63.75">
      <c r="A273" s="207" t="s">
        <v>707</v>
      </c>
      <c r="B273" s="208" t="s">
        <v>1130</v>
      </c>
      <c r="C273" s="356" t="s">
        <v>2327</v>
      </c>
      <c r="D273" s="270"/>
      <c r="E273" s="208" t="s">
        <v>1098</v>
      </c>
      <c r="F273" s="208" t="s">
        <v>707</v>
      </c>
      <c r="G273" s="208" t="s">
        <v>13320</v>
      </c>
      <c r="H273" s="357">
        <v>0</v>
      </c>
      <c r="I273" s="358" t="s">
        <v>1629</v>
      </c>
      <c r="J273" s="358" t="s">
        <v>1630</v>
      </c>
      <c r="K273" s="359"/>
      <c r="L273" s="359"/>
      <c r="M273" s="359"/>
      <c r="N273" s="359"/>
      <c r="O273" s="359"/>
      <c r="P273" s="360"/>
      <c r="Q273" s="361"/>
      <c r="R273" s="208" t="str">
        <f ca="1">IF(ISERROR($V273),"",OFFSET('Smelter Look-up'!$C$4,$V273-4,0)&amp;"")</f>
        <v>Metalor Technologies S.A.</v>
      </c>
      <c r="S273" s="215" t="str">
        <f t="shared" ca="1" si="39"/>
        <v>CH</v>
      </c>
      <c r="T273" s="215" t="str">
        <f ca="1">IF(B273="","",IF(ISERROR(MATCH($J273,SorP!$B$1:$B$6230,0)),"",INDIRECT("'SorP'!$A$"&amp;MATCH($J273,SorP!$B$1:$B$6230,0))))</f>
        <v>CH-NE</v>
      </c>
      <c r="U273" s="231"/>
      <c r="V273" s="262">
        <f>IF(C273="",NA(),IF(OR(C273="Smelter not listed",C273="Smelter not yet identified"),MATCH($B273&amp;$D273,'Smelter Look-up'!$J:$J,0),MATCH($B273&amp;$C273,'Smelter Look-up'!$J:$J,0)))</f>
        <v>176</v>
      </c>
      <c r="W273" s="263"/>
      <c r="X273" s="263">
        <f t="shared" si="40"/>
        <v>0</v>
      </c>
      <c r="Y273" s="263"/>
      <c r="Z273" s="263"/>
      <c r="AB273" s="265" t="str">
        <f t="shared" si="41"/>
        <v>GoldMetalor Technologies S.A.</v>
      </c>
    </row>
    <row r="274" spans="1:28" s="264" customFormat="1" ht="102">
      <c r="A274" s="207" t="s">
        <v>730</v>
      </c>
      <c r="B274" s="208" t="s">
        <v>1130</v>
      </c>
      <c r="C274" s="356" t="s">
        <v>915</v>
      </c>
      <c r="D274" s="270"/>
      <c r="E274" s="208" t="s">
        <v>2455</v>
      </c>
      <c r="F274" s="208" t="s">
        <v>730</v>
      </c>
      <c r="G274" s="208" t="s">
        <v>13320</v>
      </c>
      <c r="H274" s="357">
        <v>0</v>
      </c>
      <c r="I274" s="358" t="s">
        <v>1669</v>
      </c>
      <c r="J274" s="358" t="s">
        <v>11590</v>
      </c>
      <c r="K274" s="359"/>
      <c r="L274" s="359"/>
      <c r="M274" s="359"/>
      <c r="N274" s="359"/>
      <c r="O274" s="359"/>
      <c r="P274" s="360"/>
      <c r="Q274" s="361"/>
      <c r="R274" s="208" t="str">
        <f ca="1">IF(ISERROR($V274),"",OFFSET('Smelter Look-up'!$C$4,$V274-4,0)&amp;"")</f>
        <v>Solar Applied Materials Technology Corp.</v>
      </c>
      <c r="S274" s="215" t="str">
        <f t="shared" ca="1" si="39"/>
        <v>TW</v>
      </c>
      <c r="T274" s="215" t="str">
        <f ca="1">IF(B274="","",IF(ISERROR(MATCH($J274,SorP!$B$1:$B$6230,0)),"",INDIRECT("'SorP'!$A$"&amp;MATCH($J274,SorP!$B$1:$B$6230,0))))</f>
        <v>TW-TNN</v>
      </c>
      <c r="U274" s="231"/>
      <c r="V274" s="262">
        <f>IF(C274="",NA(),IF(OR(C274="Smelter not listed",C274="Smelter not yet identified"),MATCH($B274&amp;$D274,'Smelter Look-up'!$J:$J,0),MATCH($B274&amp;$C274,'Smelter Look-up'!$J:$J,0)))</f>
        <v>258</v>
      </c>
      <c r="W274" s="263"/>
      <c r="X274" s="263">
        <f t="shared" si="40"/>
        <v>0</v>
      </c>
      <c r="Y274" s="263"/>
      <c r="Z274" s="263"/>
      <c r="AB274" s="265" t="str">
        <f t="shared" si="41"/>
        <v>GoldSolar Applied Materials Technology Corp.</v>
      </c>
    </row>
    <row r="275" spans="1:28" s="264" customFormat="1" ht="63.75">
      <c r="A275" s="207" t="s">
        <v>803</v>
      </c>
      <c r="B275" s="208" t="s">
        <v>1133</v>
      </c>
      <c r="C275" s="356" t="s">
        <v>1383</v>
      </c>
      <c r="D275" s="270"/>
      <c r="E275" s="208" t="s">
        <v>1100</v>
      </c>
      <c r="F275" s="208" t="s">
        <v>803</v>
      </c>
      <c r="G275" s="208" t="s">
        <v>13320</v>
      </c>
      <c r="H275" s="357">
        <v>0</v>
      </c>
      <c r="I275" s="358" t="s">
        <v>1846</v>
      </c>
      <c r="J275" s="358" t="s">
        <v>13698</v>
      </c>
      <c r="K275" s="359"/>
      <c r="L275" s="359"/>
      <c r="M275" s="359"/>
      <c r="N275" s="359"/>
      <c r="O275" s="359"/>
      <c r="P275" s="360"/>
      <c r="Q275" s="361"/>
      <c r="R275" s="208" t="str">
        <f ca="1">IF(ISERROR($V275),"",OFFSET('Smelter Look-up'!$C$4,$V275-4,0)&amp;"")</f>
        <v>Xiamen Tungsten Co., Ltd.</v>
      </c>
      <c r="S275" s="215" t="str">
        <f t="shared" ca="1" si="39"/>
        <v>CN</v>
      </c>
      <c r="T275" s="215" t="str">
        <f ca="1">IF(B275="","",IF(ISERROR(MATCH($J275,SorP!$B$1:$B$6230,0)),"",INDIRECT("'SorP'!$A$"&amp;MATCH($J275,SorP!$B$1:$B$6230,0))))</f>
        <v>CN-FJ</v>
      </c>
      <c r="U275" s="231"/>
      <c r="V275" s="262">
        <f>IF(C275="",NA(),IF(OR(C275="Smelter not listed",C275="Smelter not yet identified"),MATCH($B275&amp;$D275,'Smelter Look-up'!$J:$J,0),MATCH($B275&amp;$C275,'Smelter Look-up'!$J:$J,0)))</f>
        <v>626</v>
      </c>
      <c r="W275" s="263"/>
      <c r="X275" s="263">
        <f t="shared" si="40"/>
        <v>0</v>
      </c>
      <c r="Y275" s="263"/>
      <c r="Z275" s="263"/>
      <c r="AB275" s="265" t="str">
        <f t="shared" si="41"/>
        <v>TungstenXiamen Tungsten Co., Ltd.</v>
      </c>
    </row>
    <row r="276" spans="1:28" s="264" customFormat="1" ht="76.5">
      <c r="A276" s="207" t="s">
        <v>774</v>
      </c>
      <c r="B276" s="208" t="s">
        <v>1131</v>
      </c>
      <c r="C276" s="356" t="s">
        <v>821</v>
      </c>
      <c r="D276" s="270"/>
      <c r="E276" s="208" t="s">
        <v>1115</v>
      </c>
      <c r="F276" s="208" t="s">
        <v>774</v>
      </c>
      <c r="G276" s="208" t="s">
        <v>13320</v>
      </c>
      <c r="H276" s="357">
        <v>0</v>
      </c>
      <c r="I276" s="358" t="s">
        <v>1793</v>
      </c>
      <c r="J276" s="358" t="s">
        <v>8739</v>
      </c>
      <c r="K276" s="359"/>
      <c r="L276" s="359"/>
      <c r="M276" s="359"/>
      <c r="N276" s="359"/>
      <c r="O276" s="359"/>
      <c r="P276" s="360"/>
      <c r="Q276" s="361"/>
      <c r="R276" s="208" t="str">
        <f ca="1">IF(ISERROR($V276),"",OFFSET('Smelter Look-up'!$C$4,$V276-4,0)&amp;"")</f>
        <v>Malaysia Smelting Corporation (MSC)</v>
      </c>
      <c r="S276" s="215" t="str">
        <f t="shared" ca="1" si="39"/>
        <v>MY</v>
      </c>
      <c r="T276" s="215" t="str">
        <f ca="1">IF(B276="","",IF(ISERROR(MATCH($J276,SorP!$B$1:$B$6230,0)),"",INDIRECT("'SorP'!$A$"&amp;MATCH($J276,SorP!$B$1:$B$6230,0))))</f>
        <v>MY-07</v>
      </c>
      <c r="U276" s="231"/>
      <c r="V276" s="262">
        <f>IF(C276="",NA(),IF(OR(C276="Smelter not listed",C276="Smelter not yet identified"),MATCH($B276&amp;$D276,'Smelter Look-up'!$J:$J,0),MATCH($B276&amp;$C276,'Smelter Look-up'!$J:$J,0)))</f>
        <v>457</v>
      </c>
      <c r="W276" s="263"/>
      <c r="X276" s="263">
        <f t="shared" si="40"/>
        <v>0</v>
      </c>
      <c r="Y276" s="263"/>
      <c r="Z276" s="263"/>
      <c r="AB276" s="265" t="str">
        <f t="shared" si="41"/>
        <v>TinMalaysia Smelting Corporation (MSC)</v>
      </c>
    </row>
    <row r="277" spans="1:28" s="264" customFormat="1" ht="51">
      <c r="A277" s="207" t="s">
        <v>1829</v>
      </c>
      <c r="B277" s="208" t="s">
        <v>1131</v>
      </c>
      <c r="C277" s="356" t="s">
        <v>13012</v>
      </c>
      <c r="D277" s="270"/>
      <c r="E277" s="208" t="s">
        <v>1095</v>
      </c>
      <c r="F277" s="208" t="s">
        <v>1829</v>
      </c>
      <c r="G277" s="208" t="s">
        <v>13320</v>
      </c>
      <c r="H277" s="357">
        <v>0</v>
      </c>
      <c r="I277" s="358" t="s">
        <v>1830</v>
      </c>
      <c r="J277" s="358" t="s">
        <v>3177</v>
      </c>
      <c r="K277" s="359"/>
      <c r="L277" s="359"/>
      <c r="M277" s="359"/>
      <c r="N277" s="359"/>
      <c r="O277" s="359"/>
      <c r="P277" s="360"/>
      <c r="Q277" s="361"/>
      <c r="R277" s="208" t="str">
        <f ca="1">IF(ISERROR($V277),"",OFFSET('Smelter Look-up'!$C$4,$V277-4,0)&amp;"")</f>
        <v>Metallo Belgium N.V.</v>
      </c>
      <c r="S277" s="215" t="str">
        <f t="shared" ca="1" si="39"/>
        <v>BE</v>
      </c>
      <c r="T277" s="215" t="str">
        <f ca="1">IF(B277="","",IF(ISERROR(MATCH($J277,SorP!$B$1:$B$6230,0)),"",INDIRECT("'SorP'!$A$"&amp;MATCH($J277,SorP!$B$1:$B$6230,0))))</f>
        <v>BE-VAN</v>
      </c>
      <c r="U277" s="231"/>
      <c r="V277" s="262">
        <f>IF(C277="",NA(),IF(OR(C277="Smelter not listed",C277="Smelter not yet identified"),MATCH($B277&amp;$D277,'Smelter Look-up'!$J:$J,0),MATCH($B277&amp;$C277,'Smelter Look-up'!$J:$J,0)))</f>
        <v>462</v>
      </c>
      <c r="W277" s="263"/>
      <c r="X277" s="263">
        <f t="shared" si="40"/>
        <v>0</v>
      </c>
      <c r="Y277" s="263"/>
      <c r="Z277" s="263"/>
      <c r="AB277" s="265" t="str">
        <f t="shared" si="41"/>
        <v>TinMetallo Belgium N.V.</v>
      </c>
    </row>
    <row r="278" spans="1:28" s="264" customFormat="1" ht="51">
      <c r="A278" s="207" t="s">
        <v>775</v>
      </c>
      <c r="B278" s="208" t="s">
        <v>1131</v>
      </c>
      <c r="C278" s="356" t="s">
        <v>12509</v>
      </c>
      <c r="D278" s="270"/>
      <c r="E278" s="208" t="s">
        <v>1096</v>
      </c>
      <c r="F278" s="208" t="s">
        <v>775</v>
      </c>
      <c r="G278" s="208" t="s">
        <v>13320</v>
      </c>
      <c r="H278" s="357">
        <v>0</v>
      </c>
      <c r="I278" s="358" t="s">
        <v>1796</v>
      </c>
      <c r="J278" s="358" t="s">
        <v>1682</v>
      </c>
      <c r="K278" s="359"/>
      <c r="L278" s="359"/>
      <c r="M278" s="359"/>
      <c r="N278" s="359"/>
      <c r="O278" s="359"/>
      <c r="P278" s="360"/>
      <c r="Q278" s="361"/>
      <c r="R278" s="208" t="str">
        <f ca="1">IF(ISERROR($V278),"",OFFSET('Smelter Look-up'!$C$4,$V278-4,0)&amp;"")</f>
        <v>Mineracao Taboca S.A.</v>
      </c>
      <c r="S278" s="215" t="str">
        <f t="shared" ca="1" si="39"/>
        <v>BR</v>
      </c>
      <c r="T278" s="215" t="str">
        <f ca="1">IF(B278="","",IF(ISERROR(MATCH($J278,SorP!$B$1:$B$6230,0)),"",INDIRECT("'SorP'!$A$"&amp;MATCH($J278,SorP!$B$1:$B$6230,0))))</f>
        <v>BR-SP</v>
      </c>
      <c r="U278" s="231"/>
      <c r="V278" s="262">
        <f>IF(C278="",NA(),IF(OR(C278="Smelter not listed",C278="Smelter not yet identified"),MATCH($B278&amp;$D278,'Smelter Look-up'!$J:$J,0),MATCH($B278&amp;$C278,'Smelter Look-up'!$J:$J,0)))</f>
        <v>464</v>
      </c>
      <c r="W278" s="263"/>
      <c r="X278" s="263">
        <f t="shared" si="40"/>
        <v>0</v>
      </c>
      <c r="Y278" s="263"/>
      <c r="Z278" s="263"/>
      <c r="AB278" s="265" t="str">
        <f t="shared" si="41"/>
        <v>TinMineracao Taboca S.A.</v>
      </c>
    </row>
    <row r="279" spans="1:28" s="264" customFormat="1" ht="25.5">
      <c r="A279" s="207" t="s">
        <v>776</v>
      </c>
      <c r="B279" s="208" t="s">
        <v>1131</v>
      </c>
      <c r="C279" s="356" t="s">
        <v>1034</v>
      </c>
      <c r="D279" s="270"/>
      <c r="E279" s="208" t="s">
        <v>880</v>
      </c>
      <c r="F279" s="208" t="s">
        <v>776</v>
      </c>
      <c r="G279" s="208" t="s">
        <v>13320</v>
      </c>
      <c r="H279" s="357">
        <v>0</v>
      </c>
      <c r="I279" s="358" t="s">
        <v>1798</v>
      </c>
      <c r="J279" s="358" t="s">
        <v>9194</v>
      </c>
      <c r="K279" s="359"/>
      <c r="L279" s="359"/>
      <c r="M279" s="359"/>
      <c r="N279" s="359"/>
      <c r="O279" s="359"/>
      <c r="P279" s="360"/>
      <c r="Q279" s="361"/>
      <c r="R279" s="208" t="str">
        <f ca="1">IF(ISERROR($V279),"",OFFSET('Smelter Look-up'!$C$4,$V279-4,0)&amp;"")</f>
        <v>Minsur</v>
      </c>
      <c r="S279" s="215" t="str">
        <f t="shared" ca="1" si="39"/>
        <v>PE</v>
      </c>
      <c r="T279" s="215" t="str">
        <f ca="1">IF(B279="","",IF(ISERROR(MATCH($J279,SorP!$B$1:$B$6230,0)),"",INDIRECT("'SorP'!$A$"&amp;MATCH($J279,SorP!$B$1:$B$6230,0))))</f>
        <v>PE-ICA</v>
      </c>
      <c r="U279" s="231"/>
      <c r="V279" s="262">
        <f>IF(C279="",NA(),IF(OR(C279="Smelter not listed",C279="Smelter not yet identified"),MATCH($B279&amp;$D279,'Smelter Look-up'!$J:$J,0),MATCH($B279&amp;$C279,'Smelter Look-up'!$J:$J,0)))</f>
        <v>468</v>
      </c>
      <c r="W279" s="263"/>
      <c r="X279" s="263">
        <f t="shared" si="40"/>
        <v>0</v>
      </c>
      <c r="Y279" s="263"/>
      <c r="Z279" s="263"/>
      <c r="AB279" s="265" t="str">
        <f t="shared" si="41"/>
        <v>TinMinsur</v>
      </c>
    </row>
    <row r="280" spans="1:28" s="264" customFormat="1" ht="63.75">
      <c r="A280" s="207" t="s">
        <v>780</v>
      </c>
      <c r="B280" s="208" t="s">
        <v>1131</v>
      </c>
      <c r="C280" s="356" t="s">
        <v>13885</v>
      </c>
      <c r="D280" s="270"/>
      <c r="E280" s="208" t="s">
        <v>2454</v>
      </c>
      <c r="F280" s="208" t="s">
        <v>780</v>
      </c>
      <c r="G280" s="208" t="s">
        <v>13320</v>
      </c>
      <c r="H280" s="357">
        <v>0</v>
      </c>
      <c r="I280" s="358" t="s">
        <v>1781</v>
      </c>
      <c r="J280" s="358" t="s">
        <v>1781</v>
      </c>
      <c r="K280" s="359"/>
      <c r="L280" s="359"/>
      <c r="M280" s="359"/>
      <c r="N280" s="359"/>
      <c r="O280" s="359"/>
      <c r="P280" s="360"/>
      <c r="Q280" s="361"/>
      <c r="R280" s="208" t="str">
        <f ca="1">IF(ISERROR($V280),"",OFFSET('Smelter Look-up'!$C$4,$V280-4,0)&amp;"")</f>
        <v>Operaciones Metalurgicas S.A.</v>
      </c>
      <c r="S280" s="215" t="str">
        <f t="shared" ca="1" si="39"/>
        <v>BO</v>
      </c>
      <c r="T280" s="215" t="str">
        <f ca="1">IF(B280="","",IF(ISERROR(MATCH($J280,SorP!$B$1:$B$6230,0)),"",INDIRECT("'SorP'!$A$"&amp;MATCH($J280,SorP!$B$1:$B$6230,0))))</f>
        <v>BO-O</v>
      </c>
      <c r="U280" s="231"/>
      <c r="V280" s="262">
        <f>IF(C280="",NA(),IF(OR(C280="Smelter not listed",C280="Smelter not yet identified"),MATCH($B280&amp;$D280,'Smelter Look-up'!$J:$J,0),MATCH($B280&amp;$C280,'Smelter Look-up'!$J:$J,0)))</f>
        <v>479</v>
      </c>
      <c r="W280" s="263"/>
      <c r="X280" s="263">
        <f t="shared" si="40"/>
        <v>0</v>
      </c>
      <c r="Y280" s="263"/>
      <c r="Z280" s="263"/>
      <c r="AB280" s="265" t="str">
        <f t="shared" si="41"/>
        <v>TinOperaciones Metalurgicas S.A.</v>
      </c>
    </row>
    <row r="281" spans="1:28" s="264" customFormat="1" ht="51">
      <c r="A281" s="207" t="s">
        <v>804</v>
      </c>
      <c r="B281" s="208" t="s">
        <v>1131</v>
      </c>
      <c r="C281" s="356" t="s">
        <v>13882</v>
      </c>
      <c r="D281" s="270"/>
      <c r="E281" s="208" t="s">
        <v>1105</v>
      </c>
      <c r="F281" s="208" t="s">
        <v>804</v>
      </c>
      <c r="G281" s="208" t="s">
        <v>13320</v>
      </c>
      <c r="H281" s="357">
        <v>0</v>
      </c>
      <c r="I281" s="358" t="s">
        <v>1805</v>
      </c>
      <c r="J281" s="358" t="s">
        <v>6100</v>
      </c>
      <c r="K281" s="359"/>
      <c r="L281" s="359"/>
      <c r="M281" s="359"/>
      <c r="N281" s="359"/>
      <c r="O281" s="359"/>
      <c r="P281" s="360"/>
      <c r="Q281" s="361"/>
      <c r="R281" s="208" t="str">
        <f ca="1">IF(ISERROR($V281),"",OFFSET('Smelter Look-up'!$C$4,$V281-4,0)&amp;"")</f>
        <v>PT Timah Tbk Kundur</v>
      </c>
      <c r="S281" s="215" t="str">
        <f t="shared" ca="1" si="39"/>
        <v>ID</v>
      </c>
      <c r="T281" s="215" t="str">
        <f ca="1">IF(B281="","",IF(ISERROR(MATCH($J281,SorP!$B$1:$B$6230,0)),"",INDIRECT("'SorP'!$A$"&amp;MATCH($J281,SorP!$B$1:$B$6230,0))))</f>
        <v>ID-RI</v>
      </c>
      <c r="U281" s="231"/>
      <c r="V281" s="262">
        <f>IF(C281="",NA(),IF(OR(C281="Smelter not listed",C281="Smelter not yet identified"),MATCH($B281&amp;$D281,'Smelter Look-up'!$J:$J,0),MATCH($B281&amp;$C281,'Smelter Look-up'!$J:$J,0)))</f>
        <v>508</v>
      </c>
      <c r="W281" s="263"/>
      <c r="X281" s="263">
        <f t="shared" si="40"/>
        <v>0</v>
      </c>
      <c r="Y281" s="263"/>
      <c r="Z281" s="263"/>
      <c r="AB281" s="265" t="str">
        <f t="shared" si="41"/>
        <v>TinPT Timah Tbk Kundur</v>
      </c>
    </row>
    <row r="282" spans="1:28" s="264" customFormat="1" ht="51">
      <c r="A282" s="207" t="s">
        <v>784</v>
      </c>
      <c r="B282" s="208" t="s">
        <v>1131</v>
      </c>
      <c r="C282" s="356" t="s">
        <v>13881</v>
      </c>
      <c r="D282" s="270"/>
      <c r="E282" s="208" t="s">
        <v>1105</v>
      </c>
      <c r="F282" s="208" t="s">
        <v>784</v>
      </c>
      <c r="G282" s="208" t="s">
        <v>13320</v>
      </c>
      <c r="H282" s="357">
        <v>0</v>
      </c>
      <c r="I282" s="358" t="s">
        <v>1807</v>
      </c>
      <c r="J282" s="358" t="s">
        <v>12931</v>
      </c>
      <c r="K282" s="359"/>
      <c r="L282" s="359"/>
      <c r="M282" s="359"/>
      <c r="N282" s="359"/>
      <c r="O282" s="359"/>
      <c r="P282" s="360"/>
      <c r="Q282" s="361"/>
      <c r="R282" s="208" t="str">
        <f ca="1">IF(ISERROR($V282),"",OFFSET('Smelter Look-up'!$C$4,$V282-4,0)&amp;"")</f>
        <v>PT Timah Tbk Mentok</v>
      </c>
      <c r="S282" s="215" t="str">
        <f t="shared" ca="1" si="39"/>
        <v>ID</v>
      </c>
      <c r="T282" s="215" t="str">
        <f ca="1">IF(B282="","",IF(ISERROR(MATCH($J282,SorP!$B$1:$B$6230,0)),"",INDIRECT("'SorP'!$A$"&amp;MATCH($J282,SorP!$B$1:$B$6230,0))))</f>
        <v>ID-BB</v>
      </c>
      <c r="U282" s="231"/>
      <c r="V282" s="262">
        <f>IF(C282="",NA(),IF(OR(C282="Smelter not listed",C282="Smelter not yet identified"),MATCH($B282&amp;$D282,'Smelter Look-up'!$J:$J,0),MATCH($B282&amp;$C282,'Smelter Look-up'!$J:$J,0)))</f>
        <v>509</v>
      </c>
      <c r="W282" s="263"/>
      <c r="X282" s="263">
        <f t="shared" si="40"/>
        <v>0</v>
      </c>
      <c r="Y282" s="263"/>
      <c r="Z282" s="263"/>
      <c r="AB282" s="265" t="str">
        <f t="shared" si="41"/>
        <v>TinPT Timah Tbk Mentok</v>
      </c>
    </row>
    <row r="283" spans="1:28" s="264" customFormat="1" ht="25.5">
      <c r="A283" s="207" t="s">
        <v>788</v>
      </c>
      <c r="B283" s="208" t="s">
        <v>1131</v>
      </c>
      <c r="C283" s="356" t="s">
        <v>1031</v>
      </c>
      <c r="D283" s="270"/>
      <c r="E283" s="208" t="s">
        <v>888</v>
      </c>
      <c r="F283" s="208" t="s">
        <v>788</v>
      </c>
      <c r="G283" s="208" t="s">
        <v>13320</v>
      </c>
      <c r="H283" s="357">
        <v>0</v>
      </c>
      <c r="I283" s="358" t="s">
        <v>1809</v>
      </c>
      <c r="J283" s="358" t="s">
        <v>1810</v>
      </c>
      <c r="K283" s="359"/>
      <c r="L283" s="359"/>
      <c r="M283" s="359"/>
      <c r="N283" s="359"/>
      <c r="O283" s="359"/>
      <c r="P283" s="360"/>
      <c r="Q283" s="361"/>
      <c r="R283" s="208" t="str">
        <f ca="1">IF(ISERROR($V283),"",OFFSET('Smelter Look-up'!$C$4,$V283-4,0)&amp;"")</f>
        <v>Thaisarco</v>
      </c>
      <c r="S283" s="215" t="str">
        <f t="shared" ca="1" si="39"/>
        <v>TH</v>
      </c>
      <c r="T283" s="215" t="str">
        <f ca="1">IF(B283="","",IF(ISERROR(MATCH($J283,SorP!$B$1:$B$6230,0)),"",INDIRECT("'SorP'!$A$"&amp;MATCH($J283,SorP!$B$1:$B$6230,0))))</f>
        <v>TH-83</v>
      </c>
      <c r="U283" s="231"/>
      <c r="V283" s="262">
        <f>IF(C283="",NA(),IF(OR(C283="Smelter not listed",C283="Smelter not yet identified"),MATCH($B283&amp;$D283,'Smelter Look-up'!$J:$J,0),MATCH($B283&amp;$C283,'Smelter Look-up'!$J:$J,0)))</f>
        <v>523</v>
      </c>
      <c r="W283" s="263"/>
      <c r="X283" s="263">
        <f t="shared" si="40"/>
        <v>0</v>
      </c>
      <c r="Y283" s="263"/>
      <c r="Z283" s="263"/>
      <c r="AB283" s="265" t="str">
        <f t="shared" si="41"/>
        <v>TinThaisarco</v>
      </c>
    </row>
    <row r="284" spans="1:28" s="264" customFormat="1" ht="76.5">
      <c r="A284" s="207" t="s">
        <v>789</v>
      </c>
      <c r="B284" s="208" t="s">
        <v>1131</v>
      </c>
      <c r="C284" s="356" t="s">
        <v>2556</v>
      </c>
      <c r="D284" s="270"/>
      <c r="E284" s="208" t="s">
        <v>1096</v>
      </c>
      <c r="F284" s="208" t="s">
        <v>789</v>
      </c>
      <c r="G284" s="208" t="s">
        <v>13320</v>
      </c>
      <c r="H284" s="357">
        <v>0</v>
      </c>
      <c r="I284" s="358" t="s">
        <v>1778</v>
      </c>
      <c r="J284" s="358" t="s">
        <v>1782</v>
      </c>
      <c r="K284" s="359"/>
      <c r="L284" s="359"/>
      <c r="M284" s="359"/>
      <c r="N284" s="359"/>
      <c r="O284" s="359"/>
      <c r="P284" s="360"/>
      <c r="Q284" s="361"/>
      <c r="R284" s="208" t="str">
        <f ca="1">IF(ISERROR($V284),"",OFFSET('Smelter Look-up'!$C$4,$V284-4,0)&amp;"")</f>
        <v>White Solder Metalurgia e Mineracao Ltda.</v>
      </c>
      <c r="S284" s="215" t="str">
        <f t="shared" ca="1" si="39"/>
        <v>BR</v>
      </c>
      <c r="T284" s="215" t="str">
        <f ca="1">IF(B284="","",IF(ISERROR(MATCH($J284,SorP!$B$1:$B$6230,0)),"",INDIRECT("'SorP'!$A$"&amp;MATCH($J284,SorP!$B$1:$B$6230,0))))</f>
        <v>BR-RO</v>
      </c>
      <c r="U284" s="231"/>
      <c r="V284" s="262">
        <f>IF(C284="",NA(),IF(OR(C284="Smelter not listed",C284="Smelter not yet identified"),MATCH($B284&amp;$D284,'Smelter Look-up'!$J:$J,0),MATCH($B284&amp;$C284,'Smelter Look-up'!$J:$J,0)))</f>
        <v>532</v>
      </c>
      <c r="W284" s="263"/>
      <c r="X284" s="263">
        <f t="shared" si="40"/>
        <v>0</v>
      </c>
      <c r="Y284" s="263"/>
      <c r="Z284" s="263"/>
      <c r="AB284" s="265" t="str">
        <f t="shared" si="41"/>
        <v>TinWhite Solder Metalurgia e Mineracao Ltda.</v>
      </c>
    </row>
    <row r="285" spans="1:28" s="264" customFormat="1" ht="51">
      <c r="A285" s="207" t="s">
        <v>1794</v>
      </c>
      <c r="B285" s="208" t="s">
        <v>1131</v>
      </c>
      <c r="C285" s="356" t="s">
        <v>2163</v>
      </c>
      <c r="D285" s="270"/>
      <c r="E285" s="208" t="s">
        <v>2456</v>
      </c>
      <c r="F285" s="208" t="s">
        <v>1794</v>
      </c>
      <c r="G285" s="208" t="s">
        <v>13320</v>
      </c>
      <c r="H285" s="357">
        <v>0</v>
      </c>
      <c r="I285" s="358" t="s">
        <v>1795</v>
      </c>
      <c r="J285" s="358" t="s">
        <v>1642</v>
      </c>
      <c r="K285" s="359"/>
      <c r="L285" s="359"/>
      <c r="M285" s="359"/>
      <c r="N285" s="359"/>
      <c r="O285" s="359"/>
      <c r="P285" s="360"/>
      <c r="Q285" s="361"/>
      <c r="R285" s="208" t="str">
        <f ca="1">IF(ISERROR($V285),"",OFFSET('Smelter Look-up'!$C$4,$V285-4,0)&amp;"")</f>
        <v>Metallic Resources, Inc.</v>
      </c>
      <c r="S285" s="215" t="str">
        <f t="shared" ca="1" si="39"/>
        <v>US</v>
      </c>
      <c r="T285" s="215" t="str">
        <f ca="1">IF(B285="","",IF(ISERROR(MATCH($J285,SorP!$B$1:$B$6230,0)),"",INDIRECT("'SorP'!$A$"&amp;MATCH($J285,SorP!$B$1:$B$6230,0))))</f>
        <v>US-OH</v>
      </c>
      <c r="U285" s="231"/>
      <c r="V285" s="262">
        <f>IF(C285="",NA(),IF(OR(C285="Smelter not listed",C285="Smelter not yet identified"),MATCH($B285&amp;$D285,'Smelter Look-up'!$J:$J,0),MATCH($B285&amp;$C285,'Smelter Look-up'!$J:$J,0)))</f>
        <v>461</v>
      </c>
      <c r="W285" s="263"/>
      <c r="X285" s="263">
        <f t="shared" si="40"/>
        <v>0</v>
      </c>
      <c r="Y285" s="263"/>
      <c r="Z285" s="263"/>
      <c r="AB285" s="265" t="str">
        <f t="shared" si="41"/>
        <v>TinMetallic Resources, Inc.</v>
      </c>
    </row>
    <row r="286" spans="1:28" s="264" customFormat="1" ht="76.5">
      <c r="A286" s="207" t="s">
        <v>777</v>
      </c>
      <c r="B286" s="208" t="s">
        <v>1131</v>
      </c>
      <c r="C286" s="356" t="s">
        <v>1164</v>
      </c>
      <c r="D286" s="270"/>
      <c r="E286" s="208" t="s">
        <v>1108</v>
      </c>
      <c r="F286" s="208" t="s">
        <v>777</v>
      </c>
      <c r="G286" s="208" t="s">
        <v>13320</v>
      </c>
      <c r="H286" s="357">
        <v>0</v>
      </c>
      <c r="I286" s="358" t="s">
        <v>15738</v>
      </c>
      <c r="J286" s="358" t="s">
        <v>1558</v>
      </c>
      <c r="K286" s="359"/>
      <c r="L286" s="359"/>
      <c r="M286" s="359"/>
      <c r="N286" s="359"/>
      <c r="O286" s="359"/>
      <c r="P286" s="360"/>
      <c r="Q286" s="361"/>
      <c r="R286" s="208" t="str">
        <f ca="1">IF(ISERROR($V286),"",OFFSET('Smelter Look-up'!$C$4,$V286-4,0)&amp;"")</f>
        <v>Mitsubishi Materials Corporation</v>
      </c>
      <c r="S286" s="215" t="str">
        <f t="shared" ca="1" si="39"/>
        <v>JP</v>
      </c>
      <c r="T286" s="215" t="str">
        <f ca="1">IF(B286="","",IF(ISERROR(MATCH($J286,SorP!$B$1:$B$6230,0)),"",INDIRECT("'SorP'!$A$"&amp;MATCH($J286,SorP!$B$1:$B$6230,0))))</f>
        <v>JP-28</v>
      </c>
      <c r="U286" s="231"/>
      <c r="V286" s="262">
        <f>IF(C286="",NA(),IF(OR(C286="Smelter not listed",C286="Smelter not yet identified"),MATCH($B286&amp;$D286,'Smelter Look-up'!$J:$J,0),MATCH($B286&amp;$C286,'Smelter Look-up'!$J:$J,0)))</f>
        <v>469</v>
      </c>
      <c r="W286" s="263"/>
      <c r="X286" s="263">
        <f t="shared" si="40"/>
        <v>0</v>
      </c>
      <c r="Y286" s="263"/>
      <c r="Z286" s="263"/>
      <c r="AB286" s="265" t="str">
        <f t="shared" si="41"/>
        <v>TinMitsubishi Materials Corporation</v>
      </c>
    </row>
    <row r="287" spans="1:28" s="264" customFormat="1" ht="102">
      <c r="A287" s="207" t="s">
        <v>2553</v>
      </c>
      <c r="B287" s="208" t="s">
        <v>1131</v>
      </c>
      <c r="C287" s="356" t="s">
        <v>2552</v>
      </c>
      <c r="D287" s="270"/>
      <c r="E287" s="208" t="s">
        <v>1100</v>
      </c>
      <c r="F287" s="208" t="s">
        <v>2553</v>
      </c>
      <c r="G287" s="208" t="s">
        <v>13320</v>
      </c>
      <c r="H287" s="357">
        <v>0</v>
      </c>
      <c r="I287" s="358" t="s">
        <v>1838</v>
      </c>
      <c r="J287" s="358" t="s">
        <v>13704</v>
      </c>
      <c r="K287" s="359"/>
      <c r="L287" s="359"/>
      <c r="M287" s="359"/>
      <c r="N287" s="359"/>
      <c r="O287" s="359"/>
      <c r="P287" s="360"/>
      <c r="Q287" s="361"/>
      <c r="R287" s="208" t="str">
        <f ca="1">IF(ISERROR($V287),"",OFFSET('Smelter Look-up'!$C$4,$V287-4,0)&amp;"")</f>
        <v>Guangdong Hanhe Non-Ferrous Metal Co., Ltd.</v>
      </c>
      <c r="S287" s="215" t="str">
        <f t="shared" ca="1" si="39"/>
        <v>CN</v>
      </c>
      <c r="T287" s="215" t="str">
        <f ca="1">IF(B287="","",IF(ISERROR(MATCH($J287,SorP!$B$1:$B$6230,0)),"",INDIRECT("'SorP'!$A$"&amp;MATCH($J287,SorP!$B$1:$B$6230,0))))</f>
        <v>CN-GD</v>
      </c>
      <c r="U287" s="231"/>
      <c r="V287" s="262">
        <f>IF(C287="",NA(),IF(OR(C287="Smelter not listed",C287="Smelter not yet identified"),MATCH($B287&amp;$D287,'Smelter Look-up'!$J:$J,0),MATCH($B287&amp;$C287,'Smelter Look-up'!$J:$J,0)))</f>
        <v>439</v>
      </c>
      <c r="W287" s="263"/>
      <c r="X287" s="263">
        <f t="shared" si="40"/>
        <v>0</v>
      </c>
      <c r="Y287" s="263"/>
      <c r="Z287" s="263"/>
      <c r="AB287" s="265" t="str">
        <f t="shared" si="41"/>
        <v>TinGuangdong Hanhe Non-Ferrous Metal Co., Ltd.</v>
      </c>
    </row>
    <row r="288" spans="1:28" s="264" customFormat="1" ht="89.25">
      <c r="A288" s="207" t="s">
        <v>770</v>
      </c>
      <c r="B288" s="208" t="s">
        <v>1131</v>
      </c>
      <c r="C288" s="356" t="s">
        <v>2158</v>
      </c>
      <c r="D288" s="270"/>
      <c r="E288" s="208" t="s">
        <v>1100</v>
      </c>
      <c r="F288" s="208" t="s">
        <v>770</v>
      </c>
      <c r="G288" s="208" t="s">
        <v>13320</v>
      </c>
      <c r="H288" s="357">
        <v>0</v>
      </c>
      <c r="I288" s="358" t="s">
        <v>2470</v>
      </c>
      <c r="J288" s="358" t="s">
        <v>13708</v>
      </c>
      <c r="K288" s="359"/>
      <c r="L288" s="359"/>
      <c r="M288" s="359"/>
      <c r="N288" s="359"/>
      <c r="O288" s="359"/>
      <c r="P288" s="360"/>
      <c r="Q288" s="361"/>
      <c r="R288" s="208" t="str">
        <f ca="1">IF(ISERROR($V288),"",OFFSET('Smelter Look-up'!$C$4,$V288-4,0)&amp;"")</f>
        <v>Gejiu Non-Ferrous Metal Processing Co., Ltd.</v>
      </c>
      <c r="S288" s="215" t="str">
        <f t="shared" ca="1" si="39"/>
        <v>CN</v>
      </c>
      <c r="T288" s="215" t="str">
        <f ca="1">IF(B288="","",IF(ISERROR(MATCH($J288,SorP!$B$1:$B$6230,0)),"",INDIRECT("'SorP'!$A$"&amp;MATCH($J288,SorP!$B$1:$B$6230,0))))</f>
        <v>CN-YN</v>
      </c>
      <c r="U288" s="231"/>
      <c r="V288" s="262">
        <f>IF(C288="",NA(),IF(OR(C288="Smelter not listed",C288="Smelter not yet identified"),MATCH($B288&amp;$D288,'Smelter Look-up'!$J:$J,0),MATCH($B288&amp;$C288,'Smelter Look-up'!$J:$J,0)))</f>
        <v>433</v>
      </c>
      <c r="W288" s="263"/>
      <c r="X288" s="263">
        <f t="shared" si="40"/>
        <v>0</v>
      </c>
      <c r="Y288" s="263"/>
      <c r="Z288" s="263"/>
      <c r="AB288" s="265" t="str">
        <f t="shared" si="41"/>
        <v>TinGejiu Non-Ferrous Metal Processing Co., Ltd.</v>
      </c>
    </row>
    <row r="289" spans="1:28" s="264" customFormat="1" ht="89.25">
      <c r="A289" s="207" t="s">
        <v>13010</v>
      </c>
      <c r="B289" s="208" t="s">
        <v>1131</v>
      </c>
      <c r="C289" s="356" t="s">
        <v>13009</v>
      </c>
      <c r="D289" s="270"/>
      <c r="E289" s="208" t="s">
        <v>1100</v>
      </c>
      <c r="F289" s="208" t="s">
        <v>13010</v>
      </c>
      <c r="G289" s="208" t="s">
        <v>13320</v>
      </c>
      <c r="H289" s="357">
        <v>0</v>
      </c>
      <c r="I289" s="358" t="s">
        <v>13028</v>
      </c>
      <c r="J289" s="358" t="s">
        <v>13682</v>
      </c>
      <c r="K289" s="359"/>
      <c r="L289" s="359"/>
      <c r="M289" s="359"/>
      <c r="N289" s="359"/>
      <c r="O289" s="359"/>
      <c r="P289" s="360"/>
      <c r="Q289" s="361"/>
      <c r="R289" s="208" t="str">
        <f ca="1">IF(ISERROR($V289),"",OFFSET('Smelter Look-up'!$C$4,$V289-4,0)&amp;"")</f>
        <v>Chifeng Dajingzi Tin Industry Co., Ltd.</v>
      </c>
      <c r="S289" s="215" t="str">
        <f t="shared" ca="1" si="39"/>
        <v>CN</v>
      </c>
      <c r="T289" s="215" t="str">
        <f ca="1">IF(B289="","",IF(ISERROR(MATCH($J289,SorP!$B$1:$B$6230,0)),"",INDIRECT("'SorP'!$A$"&amp;MATCH($J289,SorP!$B$1:$B$6230,0))))</f>
        <v>CN-NM</v>
      </c>
      <c r="U289" s="231"/>
      <c r="V289" s="262">
        <f>IF(C289="",NA(),IF(OR(C289="Smelter not listed",C289="Smelter not yet identified"),MATCH($B289&amp;$D289,'Smelter Look-up'!$J:$J,0),MATCH($B289&amp;$C289,'Smelter Look-up'!$J:$J,0)))</f>
        <v>400</v>
      </c>
      <c r="W289" s="263"/>
      <c r="X289" s="263">
        <f t="shared" si="40"/>
        <v>0</v>
      </c>
      <c r="Y289" s="263"/>
      <c r="Z289" s="263"/>
      <c r="AB289" s="265" t="str">
        <f t="shared" si="41"/>
        <v>TinChifeng Dajingzi Tin Industry Co., Ltd.</v>
      </c>
    </row>
    <row r="290" spans="1:28" s="264" customFormat="1" ht="63.75">
      <c r="A290" s="207" t="s">
        <v>773</v>
      </c>
      <c r="B290" s="208" t="s">
        <v>1131</v>
      </c>
      <c r="C290" s="356" t="s">
        <v>1327</v>
      </c>
      <c r="D290" s="270"/>
      <c r="E290" s="208" t="s">
        <v>1100</v>
      </c>
      <c r="F290" s="208" t="s">
        <v>773</v>
      </c>
      <c r="G290" s="208" t="s">
        <v>13320</v>
      </c>
      <c r="H290" s="357">
        <v>0</v>
      </c>
      <c r="I290" s="358" t="s">
        <v>1788</v>
      </c>
      <c r="J290" s="358" t="s">
        <v>13683</v>
      </c>
      <c r="K290" s="359"/>
      <c r="L290" s="359"/>
      <c r="M290" s="359"/>
      <c r="N290" s="359"/>
      <c r="O290" s="359"/>
      <c r="P290" s="360"/>
      <c r="Q290" s="361"/>
      <c r="R290" s="208" t="str">
        <f ca="1">IF(ISERROR($V290),"",OFFSET('Smelter Look-up'!$C$4,$V290-4,0)&amp;"")</f>
        <v>China Tin Group Co., Ltd.</v>
      </c>
      <c r="S290" s="215" t="str">
        <f t="shared" ca="1" si="39"/>
        <v>CN</v>
      </c>
      <c r="T290" s="215" t="str">
        <f ca="1">IF(B290="","",IF(ISERROR(MATCH($J290,SorP!$B$1:$B$6230,0)),"",INDIRECT("'SorP'!$A$"&amp;MATCH($J290,SorP!$B$1:$B$6230,0))))</f>
        <v>CN-GX</v>
      </c>
      <c r="U290" s="231"/>
      <c r="V290" s="262">
        <f>IF(C290="",NA(),IF(OR(C290="Smelter not listed",C290="Smelter not yet identified"),MATCH($B290&amp;$D290,'Smelter Look-up'!$J:$J,0),MATCH($B290&amp;$C290,'Smelter Look-up'!$J:$J,0)))</f>
        <v>402</v>
      </c>
      <c r="W290" s="263"/>
      <c r="X290" s="263">
        <f t="shared" si="40"/>
        <v>0</v>
      </c>
      <c r="Y290" s="263"/>
      <c r="Z290" s="263"/>
      <c r="AB290" s="265" t="str">
        <f t="shared" si="41"/>
        <v>TinChina Tin Group Co., Ltd.</v>
      </c>
    </row>
    <row r="291" spans="1:28" s="264" customFormat="1" ht="51">
      <c r="A291" s="207" t="s">
        <v>782</v>
      </c>
      <c r="B291" s="208" t="s">
        <v>1131</v>
      </c>
      <c r="C291" s="356" t="s">
        <v>627</v>
      </c>
      <c r="D291" s="270"/>
      <c r="E291" s="208" t="s">
        <v>1105</v>
      </c>
      <c r="F291" s="208" t="s">
        <v>782</v>
      </c>
      <c r="G291" s="208" t="s">
        <v>13320</v>
      </c>
      <c r="H291" s="357">
        <v>0</v>
      </c>
      <c r="I291" s="358" t="s">
        <v>1779</v>
      </c>
      <c r="J291" s="358" t="s">
        <v>12931</v>
      </c>
      <c r="K291" s="359"/>
      <c r="L291" s="359"/>
      <c r="M291" s="359"/>
      <c r="N291" s="359"/>
      <c r="O291" s="359"/>
      <c r="P291" s="360"/>
      <c r="Q291" s="361"/>
      <c r="R291" s="208" t="str">
        <f ca="1">IF(ISERROR($V291),"",OFFSET('Smelter Look-up'!$C$4,$V291-4,0)&amp;"")</f>
        <v>PT Mitra Stania Prima</v>
      </c>
      <c r="S291" s="215" t="str">
        <f t="shared" ca="1" si="39"/>
        <v>ID</v>
      </c>
      <c r="T291" s="215" t="str">
        <f ca="1">IF(B291="","",IF(ISERROR(MATCH($J291,SorP!$B$1:$B$6230,0)),"",INDIRECT("'SorP'!$A$"&amp;MATCH($J291,SorP!$B$1:$B$6230,0))))</f>
        <v>ID-BB</v>
      </c>
      <c r="U291" s="231"/>
      <c r="V291" s="262">
        <f>IF(C291="",NA(),IF(OR(C291="Smelter not listed",C291="Smelter not yet identified"),MATCH($B291&amp;$D291,'Smelter Look-up'!$J:$J,0),MATCH($B291&amp;$C291,'Smelter Look-up'!$J:$J,0)))</f>
        <v>496</v>
      </c>
      <c r="W291" s="263"/>
      <c r="X291" s="263">
        <f t="shared" si="40"/>
        <v>0</v>
      </c>
      <c r="Y291" s="263"/>
      <c r="Z291" s="263"/>
      <c r="AB291" s="265" t="str">
        <f t="shared" si="41"/>
        <v>TinPT Mitra Stania Prima</v>
      </c>
    </row>
    <row r="292" spans="1:28" s="264" customFormat="1" ht="76.5">
      <c r="A292" s="207" t="s">
        <v>777</v>
      </c>
      <c r="B292" s="208" t="s">
        <v>1131</v>
      </c>
      <c r="C292" s="356" t="s">
        <v>1164</v>
      </c>
      <c r="D292" s="270"/>
      <c r="E292" s="208" t="s">
        <v>1108</v>
      </c>
      <c r="F292" s="208" t="s">
        <v>777</v>
      </c>
      <c r="G292" s="208" t="s">
        <v>13320</v>
      </c>
      <c r="H292" s="357">
        <v>0</v>
      </c>
      <c r="I292" s="358" t="s">
        <v>15738</v>
      </c>
      <c r="J292" s="358" t="s">
        <v>1558</v>
      </c>
      <c r="K292" s="359" t="s">
        <v>15786</v>
      </c>
      <c r="L292" s="359" t="s">
        <v>15787</v>
      </c>
      <c r="M292" s="359" t="s">
        <v>15788</v>
      </c>
      <c r="N292" s="359" t="s">
        <v>15742</v>
      </c>
      <c r="O292" s="359" t="s">
        <v>15742</v>
      </c>
      <c r="P292" s="360" t="s">
        <v>488</v>
      </c>
      <c r="Q292" s="361" t="s">
        <v>15789</v>
      </c>
      <c r="R292" s="208" t="str">
        <f ca="1">IF(ISERROR($V292),"",OFFSET('Smelter Look-up'!$C$4,$V292-4,0)&amp;"")</f>
        <v>Mitsubishi Materials Corporation</v>
      </c>
      <c r="S292" s="215" t="str">
        <f t="shared" ca="1" si="39"/>
        <v>JP</v>
      </c>
      <c r="T292" s="215" t="str">
        <f ca="1">IF(B292="","",IF(ISERROR(MATCH($J292,SorP!$B$1:$B$6230,0)),"",INDIRECT("'SorP'!$A$"&amp;MATCH($J292,SorP!$B$1:$B$6230,0))))</f>
        <v>JP-28</v>
      </c>
      <c r="U292" s="231"/>
      <c r="V292" s="262">
        <f>IF(C292="",NA(),IF(OR(C292="Smelter not listed",C292="Smelter not yet identified"),MATCH($B292&amp;$D292,'Smelter Look-up'!$J:$J,0),MATCH($B292&amp;$C292,'Smelter Look-up'!$J:$J,0)))</f>
        <v>469</v>
      </c>
      <c r="W292" s="263"/>
      <c r="X292" s="263">
        <f t="shared" si="40"/>
        <v>0</v>
      </c>
      <c r="Y292" s="263"/>
      <c r="Z292" s="263"/>
      <c r="AB292" s="265" t="str">
        <f t="shared" si="41"/>
        <v>TinMitsubishi Materials Corporation</v>
      </c>
    </row>
    <row r="293" spans="1:28" s="264" customFormat="1" ht="89.25">
      <c r="A293" s="207" t="s">
        <v>770</v>
      </c>
      <c r="B293" s="208" t="s">
        <v>1131</v>
      </c>
      <c r="C293" s="356" t="s">
        <v>2158</v>
      </c>
      <c r="D293" s="270"/>
      <c r="E293" s="208" t="s">
        <v>1100</v>
      </c>
      <c r="F293" s="208" t="s">
        <v>770</v>
      </c>
      <c r="G293" s="208" t="s">
        <v>13320</v>
      </c>
      <c r="H293" s="357">
        <v>0</v>
      </c>
      <c r="I293" s="358" t="s">
        <v>2470</v>
      </c>
      <c r="J293" s="358" t="s">
        <v>13708</v>
      </c>
      <c r="K293" s="359" t="s">
        <v>15790</v>
      </c>
      <c r="L293" s="359" t="s">
        <v>15791</v>
      </c>
      <c r="M293" s="359" t="s">
        <v>15788</v>
      </c>
      <c r="N293" s="359" t="s">
        <v>15792</v>
      </c>
      <c r="O293" s="359" t="s">
        <v>15792</v>
      </c>
      <c r="P293" s="360" t="s">
        <v>489</v>
      </c>
      <c r="Q293" s="361" t="s">
        <v>15789</v>
      </c>
      <c r="R293" s="208" t="str">
        <f ca="1">IF(ISERROR($V293),"",OFFSET('Smelter Look-up'!$C$4,$V293-4,0)&amp;"")</f>
        <v>Gejiu Non-Ferrous Metal Processing Co., Ltd.</v>
      </c>
      <c r="S293" s="215" t="str">
        <f t="shared" ca="1" si="39"/>
        <v>CN</v>
      </c>
      <c r="T293" s="215" t="str">
        <f ca="1">IF(B293="","",IF(ISERROR(MATCH($J293,SorP!$B$1:$B$6230,0)),"",INDIRECT("'SorP'!$A$"&amp;MATCH($J293,SorP!$B$1:$B$6230,0))))</f>
        <v>CN-YN</v>
      </c>
      <c r="U293" s="231"/>
      <c r="V293" s="262">
        <f>IF(C293="",NA(),IF(OR(C293="Smelter not listed",C293="Smelter not yet identified"),MATCH($B293&amp;$D293,'Smelter Look-up'!$J:$J,0),MATCH($B293&amp;$C293,'Smelter Look-up'!$J:$J,0)))</f>
        <v>433</v>
      </c>
      <c r="W293" s="263"/>
      <c r="X293" s="263">
        <f t="shared" si="40"/>
        <v>0</v>
      </c>
      <c r="Y293" s="263"/>
      <c r="Z293" s="263"/>
      <c r="AB293" s="265" t="str">
        <f t="shared" si="41"/>
        <v>TinGejiu Non-Ferrous Metal Processing Co., Ltd.</v>
      </c>
    </row>
    <row r="294" spans="1:28" s="264" customFormat="1" ht="51">
      <c r="A294" s="207" t="s">
        <v>784</v>
      </c>
      <c r="B294" s="208" t="s">
        <v>1131</v>
      </c>
      <c r="C294" s="356" t="s">
        <v>13881</v>
      </c>
      <c r="D294" s="270"/>
      <c r="E294" s="208" t="s">
        <v>1105</v>
      </c>
      <c r="F294" s="208" t="s">
        <v>784</v>
      </c>
      <c r="G294" s="208" t="s">
        <v>13320</v>
      </c>
      <c r="H294" s="357">
        <v>0</v>
      </c>
      <c r="I294" s="358" t="s">
        <v>1807</v>
      </c>
      <c r="J294" s="358" t="s">
        <v>12931</v>
      </c>
      <c r="K294" s="359" t="s">
        <v>15788</v>
      </c>
      <c r="L294" s="359" t="s">
        <v>15788</v>
      </c>
      <c r="M294" s="359" t="s">
        <v>15788</v>
      </c>
      <c r="N294" s="359" t="s">
        <v>15792</v>
      </c>
      <c r="O294" s="359" t="s">
        <v>15792</v>
      </c>
      <c r="P294" s="360" t="s">
        <v>489</v>
      </c>
      <c r="Q294" s="361" t="s">
        <v>15789</v>
      </c>
      <c r="R294" s="208" t="str">
        <f ca="1">IF(ISERROR($V294),"",OFFSET('Smelter Look-up'!$C$4,$V294-4,0)&amp;"")</f>
        <v>PT Timah Tbk Mentok</v>
      </c>
      <c r="S294" s="215" t="str">
        <f t="shared" ref="S294:S324" ca="1" si="42">IF(B294="","",IF(ISERROR(MATCH($E294,CL,0)),"Unknown",INDIRECT("'C'!$A$"&amp;MATCH($E294,CL,0)+1)))</f>
        <v>ID</v>
      </c>
      <c r="T294" s="215" t="str">
        <f ca="1">IF(B294="","",IF(ISERROR(MATCH($J294,SorP!$B$1:$B$6230,0)),"",INDIRECT("'SorP'!$A$"&amp;MATCH($J294,SorP!$B$1:$B$6230,0))))</f>
        <v>ID-BB</v>
      </c>
      <c r="U294" s="231"/>
      <c r="V294" s="262">
        <f>IF(C294="",NA(),IF(OR(C294="Smelter not listed",C294="Smelter not yet identified"),MATCH($B294&amp;$D294,'Smelter Look-up'!$J:$J,0),MATCH($B294&amp;$C294,'Smelter Look-up'!$J:$J,0)))</f>
        <v>509</v>
      </c>
      <c r="W294" s="263"/>
      <c r="X294" s="263">
        <f t="shared" ref="X294:X324" si="43">IF(AND(C294="Smelter not listed",OR(LEN(D294)=0,LEN(E294)=0)),1,0)</f>
        <v>0</v>
      </c>
      <c r="Y294" s="263"/>
      <c r="Z294" s="263"/>
      <c r="AB294" s="265" t="str">
        <f t="shared" ref="AB294:AB324" si="44">B294&amp;C294</f>
        <v>TinPT Timah Tbk Mentok</v>
      </c>
    </row>
    <row r="295" spans="1:28" s="264" customFormat="1" ht="63.75">
      <c r="A295" s="207" t="s">
        <v>793</v>
      </c>
      <c r="B295" s="208" t="s">
        <v>1133</v>
      </c>
      <c r="C295" s="356" t="s">
        <v>148</v>
      </c>
      <c r="D295" s="270"/>
      <c r="E295" s="208" t="s">
        <v>2456</v>
      </c>
      <c r="F295" s="208" t="s">
        <v>793</v>
      </c>
      <c r="G295" s="208" t="s">
        <v>13320</v>
      </c>
      <c r="H295" s="357">
        <v>0</v>
      </c>
      <c r="I295" s="358" t="s">
        <v>1836</v>
      </c>
      <c r="J295" s="358" t="s">
        <v>1837</v>
      </c>
      <c r="K295" s="359"/>
      <c r="L295" s="359"/>
      <c r="M295" s="359"/>
      <c r="N295" s="359"/>
      <c r="O295" s="359"/>
      <c r="P295" s="360"/>
      <c r="Q295" s="361"/>
      <c r="R295" s="208" t="str">
        <f ca="1">IF(ISERROR($V295),"",OFFSET('Smelter Look-up'!$C$4,$V295-4,0)&amp;"")</f>
        <v>Kennametal Huntsville</v>
      </c>
      <c r="S295" s="215" t="str">
        <f t="shared" ca="1" si="42"/>
        <v>US</v>
      </c>
      <c r="T295" s="215" t="str">
        <f ca="1">IF(B295="","",IF(ISERROR(MATCH($J295,SorP!$B$1:$B$6230,0)),"",INDIRECT("'SorP'!$A$"&amp;MATCH($J295,SorP!$B$1:$B$6230,0))))</f>
        <v>US-AL</v>
      </c>
      <c r="U295" s="231"/>
      <c r="V295" s="262">
        <f>IF(C295="",NA(),IF(OR(C295="Smelter not listed",C295="Smelter not yet identified"),MATCH($B295&amp;$D295,'Smelter Look-up'!$J:$J,0),MATCH($B295&amp;$C295,'Smelter Look-up'!$J:$J,0)))</f>
        <v>604</v>
      </c>
      <c r="W295" s="263"/>
      <c r="X295" s="263">
        <f t="shared" si="43"/>
        <v>0</v>
      </c>
      <c r="Y295" s="263"/>
      <c r="Z295" s="263"/>
      <c r="AB295" s="265" t="str">
        <f t="shared" si="44"/>
        <v>TungstenKennametal Huntsville</v>
      </c>
    </row>
    <row r="296" spans="1:28" s="264" customFormat="1" ht="102">
      <c r="A296" s="207" t="s">
        <v>795</v>
      </c>
      <c r="B296" s="208" t="s">
        <v>1133</v>
      </c>
      <c r="C296" s="356" t="s">
        <v>1379</v>
      </c>
      <c r="D296" s="270"/>
      <c r="E296" s="208" t="s">
        <v>1100</v>
      </c>
      <c r="F296" s="208" t="s">
        <v>795</v>
      </c>
      <c r="G296" s="208" t="s">
        <v>13320</v>
      </c>
      <c r="H296" s="357">
        <v>0</v>
      </c>
      <c r="I296" s="358" t="s">
        <v>1786</v>
      </c>
      <c r="J296" s="358" t="s">
        <v>13699</v>
      </c>
      <c r="K296" s="359"/>
      <c r="L296" s="359"/>
      <c r="M296" s="359"/>
      <c r="N296" s="359"/>
      <c r="O296" s="359"/>
      <c r="P296" s="360"/>
      <c r="Q296" s="361"/>
      <c r="R296" s="208" t="str">
        <f ca="1">IF(ISERROR($V296),"",OFFSET('Smelter Look-up'!$C$4,$V296-4,0)&amp;"")</f>
        <v>Chongyi Zhangyuan Tungsten Co., Ltd.</v>
      </c>
      <c r="S296" s="215" t="str">
        <f t="shared" ca="1" si="42"/>
        <v>CN</v>
      </c>
      <c r="T296" s="215" t="str">
        <f ca="1">IF(B296="","",IF(ISERROR(MATCH($J296,SorP!$B$1:$B$6230,0)),"",INDIRECT("'SorP'!$A$"&amp;MATCH($J296,SorP!$B$1:$B$6230,0))))</f>
        <v>CN-JX</v>
      </c>
      <c r="U296" s="231"/>
      <c r="V296" s="262">
        <f>IF(C296="",NA(),IF(OR(C296="Smelter not listed",C296="Smelter not yet identified"),MATCH($B296&amp;$D296,'Smelter Look-up'!$J:$J,0),MATCH($B296&amp;$C296,'Smelter Look-up'!$J:$J,0)))</f>
        <v>570</v>
      </c>
      <c r="W296" s="263"/>
      <c r="X296" s="263">
        <f t="shared" si="43"/>
        <v>0</v>
      </c>
      <c r="Y296" s="263"/>
      <c r="Z296" s="263"/>
      <c r="AB296" s="265" t="str">
        <f t="shared" si="44"/>
        <v>TungstenChongyi Zhangyuan Tungsten Co., Ltd.</v>
      </c>
    </row>
    <row r="297" spans="1:28" s="264" customFormat="1" ht="76.5">
      <c r="A297" s="207" t="s">
        <v>796</v>
      </c>
      <c r="B297" s="208" t="s">
        <v>1133</v>
      </c>
      <c r="C297" s="356" t="s">
        <v>1</v>
      </c>
      <c r="D297" s="270"/>
      <c r="E297" s="208" t="s">
        <v>2456</v>
      </c>
      <c r="F297" s="208" t="s">
        <v>796</v>
      </c>
      <c r="G297" s="208" t="s">
        <v>13320</v>
      </c>
      <c r="H297" s="357">
        <v>0</v>
      </c>
      <c r="I297" s="358" t="s">
        <v>1840</v>
      </c>
      <c r="J297" s="358" t="s">
        <v>1748</v>
      </c>
      <c r="K297" s="359"/>
      <c r="L297" s="359"/>
      <c r="M297" s="359"/>
      <c r="N297" s="359"/>
      <c r="O297" s="359"/>
      <c r="P297" s="360"/>
      <c r="Q297" s="361"/>
      <c r="R297" s="208" t="str">
        <f ca="1">IF(ISERROR($V297),"",OFFSET('Smelter Look-up'!$C$4,$V297-4,0)&amp;"")</f>
        <v>Global Tungsten &amp; Powders Corp.</v>
      </c>
      <c r="S297" s="215" t="str">
        <f t="shared" ca="1" si="42"/>
        <v>US</v>
      </c>
      <c r="T297" s="215" t="str">
        <f ca="1">IF(B297="","",IF(ISERROR(MATCH($J297,SorP!$B$1:$B$6230,0)),"",INDIRECT("'SorP'!$A$"&amp;MATCH($J297,SorP!$B$1:$B$6230,0))))</f>
        <v>US-PA</v>
      </c>
      <c r="U297" s="231"/>
      <c r="V297" s="262">
        <f>IF(C297="",NA(),IF(OR(C297="Smelter not listed",C297="Smelter not yet identified"),MATCH($B297&amp;$D297,'Smelter Look-up'!$J:$J,0),MATCH($B297&amp;$C297,'Smelter Look-up'!$J:$J,0)))</f>
        <v>580</v>
      </c>
      <c r="W297" s="263"/>
      <c r="X297" s="263">
        <f t="shared" si="43"/>
        <v>0</v>
      </c>
      <c r="Y297" s="263"/>
      <c r="Z297" s="263"/>
      <c r="AB297" s="265" t="str">
        <f t="shared" si="44"/>
        <v>TungstenGlobal Tungsten &amp; Powders Corp.</v>
      </c>
    </row>
    <row r="298" spans="1:28" s="264" customFormat="1" ht="114.75">
      <c r="A298" s="207" t="s">
        <v>798</v>
      </c>
      <c r="B298" s="208" t="s">
        <v>1133</v>
      </c>
      <c r="C298" s="356" t="s">
        <v>1381</v>
      </c>
      <c r="D298" s="270"/>
      <c r="E298" s="208" t="s">
        <v>1100</v>
      </c>
      <c r="F298" s="208" t="s">
        <v>798</v>
      </c>
      <c r="G298" s="208" t="s">
        <v>13320</v>
      </c>
      <c r="H298" s="357">
        <v>0</v>
      </c>
      <c r="I298" s="358" t="s">
        <v>1751</v>
      </c>
      <c r="J298" s="358" t="s">
        <v>13703</v>
      </c>
      <c r="K298" s="359"/>
      <c r="L298" s="359"/>
      <c r="M298" s="359"/>
      <c r="N298" s="359"/>
      <c r="O298" s="359"/>
      <c r="P298" s="360"/>
      <c r="Q298" s="361"/>
      <c r="R298" s="208" t="str">
        <f ca="1">IF(ISERROR($V298),"",OFFSET('Smelter Look-up'!$C$4,$V298-4,0)&amp;"")</f>
        <v>Hunan Chunchang Nonferrous Metals Co., Ltd.</v>
      </c>
      <c r="S298" s="215" t="str">
        <f t="shared" ca="1" si="42"/>
        <v>CN</v>
      </c>
      <c r="T298" s="215" t="str">
        <f ca="1">IF(B298="","",IF(ISERROR(MATCH($J298,SorP!$B$1:$B$6230,0)),"",INDIRECT("'SorP'!$A$"&amp;MATCH($J298,SorP!$B$1:$B$6230,0))))</f>
        <v>CN-HN</v>
      </c>
      <c r="U298" s="231"/>
      <c r="V298" s="262">
        <f>IF(C298="",NA(),IF(OR(C298="Smelter not listed",C298="Smelter not yet identified"),MATCH($B298&amp;$D298,'Smelter Look-up'!$J:$J,0),MATCH($B298&amp;$C298,'Smelter Look-up'!$J:$J,0)))</f>
        <v>590</v>
      </c>
      <c r="W298" s="263"/>
      <c r="X298" s="263">
        <f t="shared" si="43"/>
        <v>0</v>
      </c>
      <c r="Y298" s="263"/>
      <c r="Z298" s="263"/>
      <c r="AB298" s="265" t="str">
        <f t="shared" si="44"/>
        <v>TungstenHunan Chunchang Nonferrous Metals Co., Ltd.</v>
      </c>
    </row>
    <row r="299" spans="1:28" s="264" customFormat="1" ht="114.75">
      <c r="A299" s="207" t="s">
        <v>800</v>
      </c>
      <c r="B299" s="208" t="s">
        <v>1133</v>
      </c>
      <c r="C299" s="356" t="s">
        <v>149</v>
      </c>
      <c r="D299" s="270"/>
      <c r="E299" s="208" t="s">
        <v>1100</v>
      </c>
      <c r="F299" s="208" t="s">
        <v>800</v>
      </c>
      <c r="G299" s="208" t="s">
        <v>13320</v>
      </c>
      <c r="H299" s="357">
        <v>0</v>
      </c>
      <c r="I299" s="358" t="s">
        <v>1786</v>
      </c>
      <c r="J299" s="358" t="s">
        <v>13699</v>
      </c>
      <c r="K299" s="359"/>
      <c r="L299" s="359"/>
      <c r="M299" s="359"/>
      <c r="N299" s="359"/>
      <c r="O299" s="359"/>
      <c r="P299" s="360"/>
      <c r="Q299" s="361"/>
      <c r="R299" s="208" t="str">
        <f ca="1">IF(ISERROR($V299),"",OFFSET('Smelter Look-up'!$C$4,$V299-4,0)&amp;"")</f>
        <v>Ganzhou Huaxing Tungsten Products Co., Ltd.</v>
      </c>
      <c r="S299" s="215" t="str">
        <f t="shared" ca="1" si="42"/>
        <v>CN</v>
      </c>
      <c r="T299" s="215" t="str">
        <f ca="1">IF(B299="","",IF(ISERROR(MATCH($J299,SorP!$B$1:$B$6230,0)),"",INDIRECT("'SorP'!$A$"&amp;MATCH($J299,SorP!$B$1:$B$6230,0))))</f>
        <v>CN-JX</v>
      </c>
      <c r="U299" s="231"/>
      <c r="V299" s="262">
        <f>IF(C299="",NA(),IF(OR(C299="Smelter not listed",C299="Smelter not yet identified"),MATCH($B299&amp;$D299,'Smelter Look-up'!$J:$J,0),MATCH($B299&amp;$C299,'Smelter Look-up'!$J:$J,0)))</f>
        <v>576</v>
      </c>
      <c r="W299" s="263"/>
      <c r="X299" s="263">
        <f t="shared" si="43"/>
        <v>0</v>
      </c>
      <c r="Y299" s="263"/>
      <c r="Z299" s="263"/>
      <c r="AB299" s="265" t="str">
        <f t="shared" si="44"/>
        <v>TungstenGanzhou Huaxing Tungsten Products Co., Ltd.</v>
      </c>
    </row>
    <row r="300" spans="1:28" s="264" customFormat="1" ht="89.25">
      <c r="A300" s="207" t="s">
        <v>802</v>
      </c>
      <c r="B300" s="208" t="s">
        <v>1133</v>
      </c>
      <c r="C300" s="356" t="s">
        <v>2563</v>
      </c>
      <c r="D300" s="270"/>
      <c r="E300" s="208" t="s">
        <v>1094</v>
      </c>
      <c r="F300" s="208" t="s">
        <v>802</v>
      </c>
      <c r="G300" s="208" t="s">
        <v>13320</v>
      </c>
      <c r="H300" s="357">
        <v>0</v>
      </c>
      <c r="I300" s="358" t="s">
        <v>1843</v>
      </c>
      <c r="J300" s="358" t="s">
        <v>2834</v>
      </c>
      <c r="K300" s="359"/>
      <c r="L300" s="359"/>
      <c r="M300" s="359"/>
      <c r="N300" s="359"/>
      <c r="O300" s="359"/>
      <c r="P300" s="360"/>
      <c r="Q300" s="361"/>
      <c r="R300" s="208" t="str">
        <f ca="1">IF(ISERROR($V300),"",OFFSET('Smelter Look-up'!$C$4,$V300-4,0)&amp;"")</f>
        <v>Wolfram Bergbau und Hutten AG</v>
      </c>
      <c r="S300" s="215" t="str">
        <f t="shared" ca="1" si="42"/>
        <v>AT</v>
      </c>
      <c r="T300" s="215" t="str">
        <f ca="1">IF(B300="","",IF(ISERROR(MATCH($J300,SorP!$B$1:$B$6230,0)),"",INDIRECT("'SorP'!$A$"&amp;MATCH($J300,SorP!$B$1:$B$6230,0))))</f>
        <v>AT-6</v>
      </c>
      <c r="U300" s="231"/>
      <c r="V300" s="262">
        <f>IF(C300="",NA(),IF(OR(C300="Smelter not listed",C300="Smelter not yet identified"),MATCH($B300&amp;$D300,'Smelter Look-up'!$J:$J,0),MATCH($B300&amp;$C300,'Smelter Look-up'!$J:$J,0)))</f>
        <v>622</v>
      </c>
      <c r="W300" s="263"/>
      <c r="X300" s="263">
        <f t="shared" si="43"/>
        <v>0</v>
      </c>
      <c r="Y300" s="263"/>
      <c r="Z300" s="263"/>
      <c r="AB300" s="265" t="str">
        <f t="shared" si="44"/>
        <v>TungstenWolfram Bergbau und Hutten AG</v>
      </c>
    </row>
    <row r="301" spans="1:28" s="264" customFormat="1" ht="63.75">
      <c r="A301" s="207" t="s">
        <v>803</v>
      </c>
      <c r="B301" s="208" t="s">
        <v>1133</v>
      </c>
      <c r="C301" s="356" t="s">
        <v>1383</v>
      </c>
      <c r="D301" s="270"/>
      <c r="E301" s="208" t="s">
        <v>1100</v>
      </c>
      <c r="F301" s="208" t="s">
        <v>803</v>
      </c>
      <c r="G301" s="208" t="s">
        <v>13320</v>
      </c>
      <c r="H301" s="357">
        <v>0</v>
      </c>
      <c r="I301" s="358" t="s">
        <v>1846</v>
      </c>
      <c r="J301" s="358" t="s">
        <v>13698</v>
      </c>
      <c r="K301" s="359"/>
      <c r="L301" s="359"/>
      <c r="M301" s="359"/>
      <c r="N301" s="359"/>
      <c r="O301" s="359"/>
      <c r="P301" s="360"/>
      <c r="Q301" s="361"/>
      <c r="R301" s="208" t="str">
        <f ca="1">IF(ISERROR($V301),"",OFFSET('Smelter Look-up'!$C$4,$V301-4,0)&amp;"")</f>
        <v>Xiamen Tungsten Co., Ltd.</v>
      </c>
      <c r="S301" s="215" t="str">
        <f t="shared" ca="1" si="42"/>
        <v>CN</v>
      </c>
      <c r="T301" s="215" t="str">
        <f ca="1">IF(B301="","",IF(ISERROR(MATCH($J301,SorP!$B$1:$B$6230,0)),"",INDIRECT("'SorP'!$A$"&amp;MATCH($J301,SorP!$B$1:$B$6230,0))))</f>
        <v>CN-FJ</v>
      </c>
      <c r="U301" s="231"/>
      <c r="V301" s="262">
        <f>IF(C301="",NA(),IF(OR(C301="Smelter not listed",C301="Smelter not yet identified"),MATCH($B301&amp;$D301,'Smelter Look-up'!$J:$J,0),MATCH($B301&amp;$C301,'Smelter Look-up'!$J:$J,0)))</f>
        <v>626</v>
      </c>
      <c r="W301" s="263"/>
      <c r="X301" s="263">
        <f t="shared" si="43"/>
        <v>0</v>
      </c>
      <c r="Y301" s="263"/>
      <c r="Z301" s="263"/>
      <c r="AB301" s="265" t="str">
        <f t="shared" si="44"/>
        <v>TungstenXiamen Tungsten Co., Ltd.</v>
      </c>
    </row>
    <row r="302" spans="1:28" s="264" customFormat="1" ht="89.25">
      <c r="A302" s="207" t="s">
        <v>141</v>
      </c>
      <c r="B302" s="208" t="s">
        <v>1133</v>
      </c>
      <c r="C302" s="356" t="s">
        <v>152</v>
      </c>
      <c r="D302" s="270"/>
      <c r="E302" s="208" t="s">
        <v>1100</v>
      </c>
      <c r="F302" s="208" t="s">
        <v>141</v>
      </c>
      <c r="G302" s="208" t="s">
        <v>13320</v>
      </c>
      <c r="H302" s="357">
        <v>0</v>
      </c>
      <c r="I302" s="358" t="s">
        <v>1786</v>
      </c>
      <c r="J302" s="358" t="s">
        <v>13699</v>
      </c>
      <c r="K302" s="359"/>
      <c r="L302" s="359"/>
      <c r="M302" s="359"/>
      <c r="N302" s="359"/>
      <c r="O302" s="359"/>
      <c r="P302" s="360"/>
      <c r="Q302" s="361"/>
      <c r="R302" s="208" t="str">
        <f ca="1">IF(ISERROR($V302),"",OFFSET('Smelter Look-up'!$C$4,$V302-4,0)&amp;"")</f>
        <v>Jiangxi Yaosheng Tungsten Co., Ltd.</v>
      </c>
      <c r="S302" s="215" t="str">
        <f t="shared" ca="1" si="42"/>
        <v>CN</v>
      </c>
      <c r="T302" s="215" t="str">
        <f ca="1">IF(B302="","",IF(ISERROR(MATCH($J302,SorP!$B$1:$B$6230,0)),"",INDIRECT("'SorP'!$A$"&amp;MATCH($J302,SorP!$B$1:$B$6230,0))))</f>
        <v>CN-JX</v>
      </c>
      <c r="U302" s="231"/>
      <c r="V302" s="262">
        <f>IF(C302="",NA(),IF(OR(C302="Smelter not listed",C302="Smelter not yet identified"),MATCH($B302&amp;$D302,'Smelter Look-up'!$J:$J,0),MATCH($B302&amp;$C302,'Smelter Look-up'!$J:$J,0)))</f>
        <v>600</v>
      </c>
      <c r="W302" s="263"/>
      <c r="X302" s="263">
        <f t="shared" si="43"/>
        <v>0</v>
      </c>
      <c r="Y302" s="263"/>
      <c r="Z302" s="263"/>
      <c r="AB302" s="265" t="str">
        <f t="shared" si="44"/>
        <v>TungstenJiangxi Yaosheng Tungsten Co., Ltd.</v>
      </c>
    </row>
    <row r="303" spans="1:28" s="264" customFormat="1" ht="114.75">
      <c r="A303" s="207" t="s">
        <v>142</v>
      </c>
      <c r="B303" s="208" t="s">
        <v>1133</v>
      </c>
      <c r="C303" s="356" t="s">
        <v>153</v>
      </c>
      <c r="D303" s="270"/>
      <c r="E303" s="208" t="s">
        <v>1100</v>
      </c>
      <c r="F303" s="208" t="s">
        <v>142</v>
      </c>
      <c r="G303" s="208" t="s">
        <v>13320</v>
      </c>
      <c r="H303" s="357">
        <v>0</v>
      </c>
      <c r="I303" s="358" t="s">
        <v>1786</v>
      </c>
      <c r="J303" s="358" t="s">
        <v>13699</v>
      </c>
      <c r="K303" s="359"/>
      <c r="L303" s="359"/>
      <c r="M303" s="359"/>
      <c r="N303" s="359"/>
      <c r="O303" s="359"/>
      <c r="P303" s="360"/>
      <c r="Q303" s="361"/>
      <c r="R303" s="208" t="str">
        <f ca="1">IF(ISERROR($V303),"",OFFSET('Smelter Look-up'!$C$4,$V303-4,0)&amp;"")</f>
        <v>Jiangxi Xinsheng Tungsten Industry Co., Ltd.</v>
      </c>
      <c r="S303" s="215" t="str">
        <f t="shared" ca="1" si="42"/>
        <v>CN</v>
      </c>
      <c r="T303" s="215" t="str">
        <f ca="1">IF(B303="","",IF(ISERROR(MATCH($J303,SorP!$B$1:$B$6230,0)),"",INDIRECT("'SorP'!$A$"&amp;MATCH($J303,SorP!$B$1:$B$6230,0))))</f>
        <v>CN-JX</v>
      </c>
      <c r="U303" s="231"/>
      <c r="V303" s="262">
        <f>IF(C303="",NA(),IF(OR(C303="Smelter not listed",C303="Smelter not yet identified"),MATCH($B303&amp;$D303,'Smelter Look-up'!$J:$J,0),MATCH($B303&amp;$C303,'Smelter Look-up'!$J:$J,0)))</f>
        <v>599</v>
      </c>
      <c r="W303" s="263"/>
      <c r="X303" s="263">
        <f t="shared" si="43"/>
        <v>0</v>
      </c>
      <c r="Y303" s="263"/>
      <c r="Z303" s="263"/>
      <c r="AB303" s="265" t="str">
        <f t="shared" si="44"/>
        <v>TungstenJiangxi Xinsheng Tungsten Industry Co., Ltd.</v>
      </c>
    </row>
    <row r="304" spans="1:28" s="264" customFormat="1" ht="127.5">
      <c r="A304" s="207" t="s">
        <v>143</v>
      </c>
      <c r="B304" s="208" t="s">
        <v>1133</v>
      </c>
      <c r="C304" s="356" t="s">
        <v>154</v>
      </c>
      <c r="D304" s="270"/>
      <c r="E304" s="208" t="s">
        <v>1100</v>
      </c>
      <c r="F304" s="208" t="s">
        <v>143</v>
      </c>
      <c r="G304" s="208" t="s">
        <v>13320</v>
      </c>
      <c r="H304" s="357">
        <v>0</v>
      </c>
      <c r="I304" s="358" t="s">
        <v>1848</v>
      </c>
      <c r="J304" s="358" t="s">
        <v>13699</v>
      </c>
      <c r="K304" s="359"/>
      <c r="L304" s="359"/>
      <c r="M304" s="359"/>
      <c r="N304" s="359"/>
      <c r="O304" s="359"/>
      <c r="P304" s="360"/>
      <c r="Q304" s="361"/>
      <c r="R304" s="208" t="str">
        <f ca="1">IF(ISERROR($V304),"",OFFSET('Smelter Look-up'!$C$4,$V304-4,0)&amp;"")</f>
        <v>Jiangxi Tonggu Non-ferrous Metallurgical &amp; Chemical Co., Ltd.</v>
      </c>
      <c r="S304" s="215" t="str">
        <f t="shared" ca="1" si="42"/>
        <v>CN</v>
      </c>
      <c r="T304" s="215" t="str">
        <f ca="1">IF(B304="","",IF(ISERROR(MATCH($J304,SorP!$B$1:$B$6230,0)),"",INDIRECT("'SorP'!$A$"&amp;MATCH($J304,SorP!$B$1:$B$6230,0))))</f>
        <v>CN-JX</v>
      </c>
      <c r="U304" s="231"/>
      <c r="V304" s="262">
        <f>IF(C304="",NA(),IF(OR(C304="Smelter not listed",C304="Smelter not yet identified"),MATCH($B304&amp;$D304,'Smelter Look-up'!$J:$J,0),MATCH($B304&amp;$C304,'Smelter Look-up'!$J:$J,0)))</f>
        <v>596</v>
      </c>
      <c r="W304" s="263"/>
      <c r="X304" s="263">
        <f t="shared" si="43"/>
        <v>0</v>
      </c>
      <c r="Y304" s="263"/>
      <c r="Z304" s="263"/>
      <c r="AB304" s="265" t="str">
        <f t="shared" si="44"/>
        <v>TungstenJiangxi Tonggu Non-ferrous Metallurgical &amp; Chemical Co., Ltd.</v>
      </c>
    </row>
    <row r="305" spans="1:28" s="264" customFormat="1" ht="76.5">
      <c r="A305" s="207" t="s">
        <v>145</v>
      </c>
      <c r="B305" s="208" t="s">
        <v>1133</v>
      </c>
      <c r="C305" s="356" t="s">
        <v>156</v>
      </c>
      <c r="D305" s="270"/>
      <c r="E305" s="208" t="s">
        <v>1100</v>
      </c>
      <c r="F305" s="208" t="s">
        <v>145</v>
      </c>
      <c r="G305" s="208" t="s">
        <v>13320</v>
      </c>
      <c r="H305" s="357">
        <v>0</v>
      </c>
      <c r="I305" s="358" t="s">
        <v>1846</v>
      </c>
      <c r="J305" s="358" t="s">
        <v>13698</v>
      </c>
      <c r="K305" s="359"/>
      <c r="L305" s="359"/>
      <c r="M305" s="359"/>
      <c r="N305" s="359"/>
      <c r="O305" s="359"/>
      <c r="P305" s="360"/>
      <c r="Q305" s="361"/>
      <c r="R305" s="208" t="str">
        <f ca="1">IF(ISERROR($V305),"",OFFSET('Smelter Look-up'!$C$4,$V305-4,0)&amp;"")</f>
        <v>Xiamen Tungsten (H.C.) Co., Ltd.</v>
      </c>
      <c r="S305" s="215" t="str">
        <f t="shared" ca="1" si="42"/>
        <v>CN</v>
      </c>
      <c r="T305" s="215" t="str">
        <f ca="1">IF(B305="","",IF(ISERROR(MATCH($J305,SorP!$B$1:$B$6230,0)),"",INDIRECT("'SorP'!$A$"&amp;MATCH($J305,SorP!$B$1:$B$6230,0))))</f>
        <v>CN-FJ</v>
      </c>
      <c r="U305" s="231"/>
      <c r="V305" s="262">
        <f>IF(C305="",NA(),IF(OR(C305="Smelter not listed",C305="Smelter not yet identified"),MATCH($B305&amp;$D305,'Smelter Look-up'!$J:$J,0),MATCH($B305&amp;$C305,'Smelter Look-up'!$J:$J,0)))</f>
        <v>625</v>
      </c>
      <c r="W305" s="263"/>
      <c r="X305" s="263">
        <f t="shared" si="43"/>
        <v>0</v>
      </c>
      <c r="Y305" s="263"/>
      <c r="Z305" s="263"/>
      <c r="AB305" s="265" t="str">
        <f t="shared" si="44"/>
        <v>TungstenXiamen Tungsten (H.C.) Co., Ltd.</v>
      </c>
    </row>
    <row r="306" spans="1:28" s="264" customFormat="1" ht="76.5">
      <c r="A306" s="207" t="s">
        <v>138</v>
      </c>
      <c r="B306" s="208" t="s">
        <v>1133</v>
      </c>
      <c r="C306" s="356" t="s">
        <v>157</v>
      </c>
      <c r="D306" s="270"/>
      <c r="E306" s="208" t="s">
        <v>1100</v>
      </c>
      <c r="F306" s="208" t="s">
        <v>138</v>
      </c>
      <c r="G306" s="208" t="s">
        <v>13320</v>
      </c>
      <c r="H306" s="357">
        <v>0</v>
      </c>
      <c r="I306" s="358" t="s">
        <v>1851</v>
      </c>
      <c r="J306" s="358" t="s">
        <v>13699</v>
      </c>
      <c r="K306" s="359"/>
      <c r="L306" s="359"/>
      <c r="M306" s="359"/>
      <c r="N306" s="359"/>
      <c r="O306" s="359"/>
      <c r="P306" s="360"/>
      <c r="Q306" s="361"/>
      <c r="R306" s="208" t="str">
        <f ca="1">IF(ISERROR($V306),"",OFFSET('Smelter Look-up'!$C$4,$V306-4,0)&amp;"")</f>
        <v>Jiangxi Gan Bei Tungsten Co., Ltd.</v>
      </c>
      <c r="S306" s="215" t="str">
        <f t="shared" ca="1" si="42"/>
        <v>CN</v>
      </c>
      <c r="T306" s="215" t="str">
        <f ca="1">IF(B306="","",IF(ISERROR(MATCH($J306,SorP!$B$1:$B$6230,0)),"",INDIRECT("'SorP'!$A$"&amp;MATCH($J306,SorP!$B$1:$B$6230,0))))</f>
        <v>CN-JX</v>
      </c>
      <c r="U306" s="231"/>
      <c r="V306" s="262">
        <f>IF(C306="",NA(),IF(OR(C306="Smelter not listed",C306="Smelter not yet identified"),MATCH($B306&amp;$D306,'Smelter Look-up'!$J:$J,0),MATCH($B306&amp;$C306,'Smelter Look-up'!$J:$J,0)))</f>
        <v>594</v>
      </c>
      <c r="W306" s="263"/>
      <c r="X306" s="263">
        <f t="shared" si="43"/>
        <v>0</v>
      </c>
      <c r="Y306" s="263"/>
      <c r="Z306" s="263"/>
      <c r="AB306" s="265" t="str">
        <f t="shared" si="44"/>
        <v>TungstenJiangxi Gan Bei Tungsten Co., Ltd.</v>
      </c>
    </row>
    <row r="307" spans="1:28" s="264" customFormat="1" ht="89.25">
      <c r="A307" s="207" t="s">
        <v>393</v>
      </c>
      <c r="B307" s="208" t="s">
        <v>1133</v>
      </c>
      <c r="C307" s="356" t="s">
        <v>392</v>
      </c>
      <c r="D307" s="270"/>
      <c r="E307" s="208" t="s">
        <v>1100</v>
      </c>
      <c r="F307" s="208" t="s">
        <v>393</v>
      </c>
      <c r="G307" s="208" t="s">
        <v>13320</v>
      </c>
      <c r="H307" s="357">
        <v>0</v>
      </c>
      <c r="I307" s="358" t="s">
        <v>1786</v>
      </c>
      <c r="J307" s="358" t="s">
        <v>13699</v>
      </c>
      <c r="K307" s="359"/>
      <c r="L307" s="359"/>
      <c r="M307" s="359"/>
      <c r="N307" s="359"/>
      <c r="O307" s="359"/>
      <c r="P307" s="360"/>
      <c r="Q307" s="361"/>
      <c r="R307" s="208" t="str">
        <f ca="1">IF(ISERROR($V307),"",OFFSET('Smelter Look-up'!$C$4,$V307-4,0)&amp;"")</f>
        <v>Ganzhou Seadragon W &amp; Mo Co., Ltd.</v>
      </c>
      <c r="S307" s="215" t="str">
        <f t="shared" ca="1" si="42"/>
        <v>CN</v>
      </c>
      <c r="T307" s="215" t="str">
        <f ca="1">IF(B307="","",IF(ISERROR(MATCH($J307,SorP!$B$1:$B$6230,0)),"",INDIRECT("'SorP'!$A$"&amp;MATCH($J307,SorP!$B$1:$B$6230,0))))</f>
        <v>CN-JX</v>
      </c>
      <c r="U307" s="231"/>
      <c r="V307" s="262">
        <f>IF(C307="",NA(),IF(OR(C307="Smelter not listed",C307="Smelter not yet identified"),MATCH($B307&amp;$D307,'Smelter Look-up'!$J:$J,0),MATCH($B307&amp;$C307,'Smelter Look-up'!$J:$J,0)))</f>
        <v>578</v>
      </c>
      <c r="W307" s="263"/>
      <c r="X307" s="263">
        <f t="shared" si="43"/>
        <v>0</v>
      </c>
      <c r="Y307" s="263"/>
      <c r="Z307" s="263"/>
      <c r="AB307" s="265" t="str">
        <f t="shared" si="44"/>
        <v>TungstenGanzhou Seadragon W &amp; Mo Co., Ltd.</v>
      </c>
    </row>
    <row r="308" spans="1:28" s="264" customFormat="1" ht="63.75">
      <c r="A308" s="207" t="s">
        <v>1428</v>
      </c>
      <c r="B308" s="208" t="s">
        <v>1133</v>
      </c>
      <c r="C308" s="356" t="s">
        <v>2560</v>
      </c>
      <c r="D308" s="270"/>
      <c r="E308" s="208" t="s">
        <v>1101</v>
      </c>
      <c r="F308" s="208" t="s">
        <v>1428</v>
      </c>
      <c r="G308" s="208" t="s">
        <v>13320</v>
      </c>
      <c r="H308" s="357">
        <v>0</v>
      </c>
      <c r="I308" s="358" t="s">
        <v>1760</v>
      </c>
      <c r="J308" s="358" t="s">
        <v>4270</v>
      </c>
      <c r="K308" s="359"/>
      <c r="L308" s="359"/>
      <c r="M308" s="359"/>
      <c r="N308" s="359"/>
      <c r="O308" s="359"/>
      <c r="P308" s="360"/>
      <c r="Q308" s="361"/>
      <c r="R308" s="208" t="str">
        <f ca="1">IF(ISERROR($V308),"",OFFSET('Smelter Look-up'!$C$4,$V308-4,0)&amp;"")</f>
        <v>H.C. Starck Tungsten GmbH</v>
      </c>
      <c r="S308" s="215" t="str">
        <f t="shared" ca="1" si="42"/>
        <v>DE</v>
      </c>
      <c r="T308" s="215" t="str">
        <f ca="1">IF(B308="","",IF(ISERROR(MATCH($J308,SorP!$B$1:$B$6230,0)),"",INDIRECT("'SorP'!$A$"&amp;MATCH($J308,SorP!$B$1:$B$6230,0))))</f>
        <v>DE-NI</v>
      </c>
      <c r="U308" s="231"/>
      <c r="V308" s="262">
        <f>IF(C308="",NA(),IF(OR(C308="Smelter not listed",C308="Smelter not yet identified"),MATCH($B308&amp;$D308,'Smelter Look-up'!$J:$J,0),MATCH($B308&amp;$C308,'Smelter Look-up'!$J:$J,0)))</f>
        <v>584</v>
      </c>
      <c r="W308" s="263"/>
      <c r="X308" s="263">
        <f t="shared" si="43"/>
        <v>0</v>
      </c>
      <c r="Y308" s="263"/>
      <c r="Z308" s="263"/>
      <c r="AB308" s="265" t="str">
        <f t="shared" si="44"/>
        <v>TungstenH.C. Starck Tungsten GmbH</v>
      </c>
    </row>
    <row r="309" spans="1:28" s="264" customFormat="1" ht="89.25">
      <c r="A309" s="207" t="s">
        <v>1432</v>
      </c>
      <c r="B309" s="208" t="s">
        <v>1133</v>
      </c>
      <c r="C309" s="356" t="s">
        <v>13907</v>
      </c>
      <c r="D309" s="270"/>
      <c r="E309" s="208" t="s">
        <v>892</v>
      </c>
      <c r="F309" s="208" t="s">
        <v>1432</v>
      </c>
      <c r="G309" s="208" t="s">
        <v>13320</v>
      </c>
      <c r="H309" s="357">
        <v>0</v>
      </c>
      <c r="I309" s="358" t="s">
        <v>1853</v>
      </c>
      <c r="J309" s="358" t="s">
        <v>12213</v>
      </c>
      <c r="K309" s="359"/>
      <c r="L309" s="359"/>
      <c r="M309" s="359"/>
      <c r="N309" s="359"/>
      <c r="O309" s="359"/>
      <c r="P309" s="360"/>
      <c r="Q309" s="361"/>
      <c r="R309" s="208" t="str">
        <f ca="1">IF(ISERROR($V309),"",OFFSET('Smelter Look-up'!$C$4,$V309-4,0)&amp;"")</f>
        <v>Masan High-Tech Materials</v>
      </c>
      <c r="S309" s="215" t="str">
        <f t="shared" ca="1" si="42"/>
        <v>VN</v>
      </c>
      <c r="T309" s="215" t="str">
        <f ca="1">IF(B309="","",IF(ISERROR(MATCH($J309,SorP!$B$1:$B$6230,0)),"",INDIRECT("'SorP'!$A$"&amp;MATCH($J309,SorP!$B$1:$B$6230,0))))</f>
        <v>VN-69</v>
      </c>
      <c r="U309" s="231"/>
      <c r="V309" s="262">
        <f>IF(C309="",NA(),IF(OR(C309="Smelter not listed",C309="Smelter not yet identified"),MATCH($B309&amp;$D309,'Smelter Look-up'!$J:$J,0),MATCH($B309&amp;$C309,'Smelter Look-up'!$J:$J,0)))</f>
        <v>610</v>
      </c>
      <c r="W309" s="263"/>
      <c r="X309" s="263">
        <f t="shared" si="43"/>
        <v>0</v>
      </c>
      <c r="Y309" s="263"/>
      <c r="Z309" s="263"/>
      <c r="AB309" s="265" t="str">
        <f t="shared" si="44"/>
        <v>TungstenMasan Tungsten Chemical LLC (MTC)</v>
      </c>
    </row>
    <row r="310" spans="1:28" s="264" customFormat="1" ht="114.75">
      <c r="A310" s="207" t="s">
        <v>1431</v>
      </c>
      <c r="B310" s="208" t="s">
        <v>1133</v>
      </c>
      <c r="C310" s="356" t="s">
        <v>1430</v>
      </c>
      <c r="D310" s="270"/>
      <c r="E310" s="208" t="s">
        <v>1100</v>
      </c>
      <c r="F310" s="208" t="s">
        <v>1431</v>
      </c>
      <c r="G310" s="208" t="s">
        <v>13320</v>
      </c>
      <c r="H310" s="357">
        <v>0</v>
      </c>
      <c r="I310" s="358" t="s">
        <v>1786</v>
      </c>
      <c r="J310" s="358" t="s">
        <v>13699</v>
      </c>
      <c r="K310" s="359"/>
      <c r="L310" s="359"/>
      <c r="M310" s="359"/>
      <c r="N310" s="359"/>
      <c r="O310" s="359"/>
      <c r="P310" s="360"/>
      <c r="Q310" s="361"/>
      <c r="R310" s="208" t="str">
        <f ca="1">IF(ISERROR($V310),"",OFFSET('Smelter Look-up'!$C$4,$V310-4,0)&amp;"")</f>
        <v>Jiangwu H.C. Starck Tungsten Products Co., Ltd.</v>
      </c>
      <c r="S310" s="215" t="str">
        <f t="shared" ca="1" si="42"/>
        <v>CN</v>
      </c>
      <c r="T310" s="215" t="str">
        <f ca="1">IF(B310="","",IF(ISERROR(MATCH($J310,SorP!$B$1:$B$6230,0)),"",INDIRECT("'SorP'!$A$"&amp;MATCH($J310,SorP!$B$1:$B$6230,0))))</f>
        <v>CN-JX</v>
      </c>
      <c r="U310" s="231"/>
      <c r="V310" s="262">
        <f>IF(C310="",NA(),IF(OR(C310="Smelter not listed",C310="Smelter not yet identified"),MATCH($B310&amp;$D310,'Smelter Look-up'!$J:$J,0),MATCH($B310&amp;$C310,'Smelter Look-up'!$J:$J,0)))</f>
        <v>593</v>
      </c>
      <c r="W310" s="263"/>
      <c r="X310" s="263">
        <f t="shared" si="43"/>
        <v>0</v>
      </c>
      <c r="Y310" s="263"/>
      <c r="Z310" s="263"/>
      <c r="AB310" s="265" t="str">
        <f t="shared" si="44"/>
        <v>TungstenJiangwu H.C. Starck Tungsten Products Co., Ltd.</v>
      </c>
    </row>
    <row r="311" spans="1:28" s="264" customFormat="1" ht="63.75">
      <c r="A311" s="207" t="s">
        <v>1855</v>
      </c>
      <c r="B311" s="208" t="s">
        <v>1133</v>
      </c>
      <c r="C311" s="356" t="s">
        <v>1854</v>
      </c>
      <c r="D311" s="270"/>
      <c r="E311" s="208" t="s">
        <v>2456</v>
      </c>
      <c r="F311" s="208" t="s">
        <v>1855</v>
      </c>
      <c r="G311" s="208" t="s">
        <v>13320</v>
      </c>
      <c r="H311" s="357">
        <v>0</v>
      </c>
      <c r="I311" s="358" t="s">
        <v>1856</v>
      </c>
      <c r="J311" s="358" t="s">
        <v>1624</v>
      </c>
      <c r="K311" s="359"/>
      <c r="L311" s="359"/>
      <c r="M311" s="359"/>
      <c r="N311" s="359"/>
      <c r="O311" s="359"/>
      <c r="P311" s="360"/>
      <c r="Q311" s="361"/>
      <c r="R311" s="208" t="str">
        <f ca="1">IF(ISERROR($V311),"",OFFSET('Smelter Look-up'!$C$4,$V311-4,0)&amp;"")</f>
        <v>Niagara Refining LLC</v>
      </c>
      <c r="S311" s="215" t="str">
        <f t="shared" ca="1" si="42"/>
        <v>US</v>
      </c>
      <c r="T311" s="215" t="str">
        <f ca="1">IF(B311="","",IF(ISERROR(MATCH($J311,SorP!$B$1:$B$6230,0)),"",INDIRECT("'SorP'!$A$"&amp;MATCH($J311,SorP!$B$1:$B$6230,0))))</f>
        <v>US-NY</v>
      </c>
      <c r="U311" s="231"/>
      <c r="V311" s="262">
        <f>IF(C311="",NA(),IF(OR(C311="Smelter not listed",C311="Smelter not yet identified"),MATCH($B311&amp;$D311,'Smelter Look-up'!$J:$J,0),MATCH($B311&amp;$C311,'Smelter Look-up'!$J:$J,0)))</f>
        <v>612</v>
      </c>
      <c r="W311" s="263"/>
      <c r="X311" s="263">
        <f t="shared" si="43"/>
        <v>0</v>
      </c>
      <c r="Y311" s="263"/>
      <c r="Z311" s="263"/>
      <c r="AB311" s="265" t="str">
        <f t="shared" si="44"/>
        <v>TungstenNiagara Refining LLC</v>
      </c>
    </row>
    <row r="312" spans="1:28" s="264" customFormat="1" ht="51">
      <c r="A312" s="207" t="s">
        <v>1858</v>
      </c>
      <c r="B312" s="208" t="s">
        <v>1133</v>
      </c>
      <c r="C312" s="356" t="s">
        <v>1857</v>
      </c>
      <c r="D312" s="270"/>
      <c r="E312" s="208" t="s">
        <v>883</v>
      </c>
      <c r="F312" s="208" t="s">
        <v>1858</v>
      </c>
      <c r="G312" s="208" t="s">
        <v>13320</v>
      </c>
      <c r="H312" s="357">
        <v>0</v>
      </c>
      <c r="I312" s="358" t="s">
        <v>1859</v>
      </c>
      <c r="J312" s="358" t="s">
        <v>10105</v>
      </c>
      <c r="K312" s="359"/>
      <c r="L312" s="359"/>
      <c r="M312" s="359"/>
      <c r="N312" s="359"/>
      <c r="O312" s="359"/>
      <c r="P312" s="360"/>
      <c r="Q312" s="361"/>
      <c r="R312" s="208" t="str">
        <f ca="1">IF(ISERROR($V312),"",OFFSET('Smelter Look-up'!$C$4,$V312-4,0)&amp;"")</f>
        <v>Hydrometallurg, JSC</v>
      </c>
      <c r="S312" s="215" t="str">
        <f t="shared" ca="1" si="42"/>
        <v>RU</v>
      </c>
      <c r="T312" s="215" t="str">
        <f ca="1">IF(B312="","",IF(ISERROR(MATCH($J312,SorP!$B$1:$B$6230,0)),"",INDIRECT("'SorP'!$A$"&amp;MATCH($J312,SorP!$B$1:$B$6230,0))))</f>
        <v>RU-KB</v>
      </c>
      <c r="U312" s="231"/>
      <c r="V312" s="262">
        <f>IF(C312="",NA(),IF(OR(C312="Smelter not listed",C312="Smelter not yet identified"),MATCH($B312&amp;$D312,'Smelter Look-up'!$J:$J,0),MATCH($B312&amp;$C312,'Smelter Look-up'!$J:$J,0)))</f>
        <v>591</v>
      </c>
      <c r="W312" s="263"/>
      <c r="X312" s="263">
        <f t="shared" si="43"/>
        <v>0</v>
      </c>
      <c r="Y312" s="263"/>
      <c r="Z312" s="263"/>
      <c r="AB312" s="265" t="str">
        <f t="shared" si="44"/>
        <v>TungstenHydrometallurg, JSC</v>
      </c>
    </row>
    <row r="313" spans="1:28" s="264" customFormat="1" ht="114.75">
      <c r="A313" s="207" t="s">
        <v>747</v>
      </c>
      <c r="B313" s="208" t="s">
        <v>1132</v>
      </c>
      <c r="C313" s="356" t="s">
        <v>2</v>
      </c>
      <c r="D313" s="270"/>
      <c r="E313" s="208" t="s">
        <v>1100</v>
      </c>
      <c r="F313" s="208" t="s">
        <v>747</v>
      </c>
      <c r="G313" s="208" t="s">
        <v>13320</v>
      </c>
      <c r="H313" s="357">
        <v>0</v>
      </c>
      <c r="I313" s="358" t="s">
        <v>1597</v>
      </c>
      <c r="J313" s="358" t="s">
        <v>13703</v>
      </c>
      <c r="K313" s="359"/>
      <c r="L313" s="359"/>
      <c r="M313" s="359"/>
      <c r="N313" s="359"/>
      <c r="O313" s="359"/>
      <c r="P313" s="360"/>
      <c r="Q313" s="361"/>
      <c r="R313" s="208" t="str">
        <f ca="1">IF(ISERROR($V313),"",OFFSET('Smelter Look-up'!$C$4,$V313-4,0)&amp;"")</f>
        <v>Changsha South Tantalum Niobium Co., Ltd.</v>
      </c>
      <c r="S313" s="215" t="str">
        <f t="shared" ca="1" si="42"/>
        <v>CN</v>
      </c>
      <c r="T313" s="215" t="str">
        <f ca="1">IF(B313="","",IF(ISERROR(MATCH($J313,SorP!$B$1:$B$6230,0)),"",INDIRECT("'SorP'!$A$"&amp;MATCH($J313,SorP!$B$1:$B$6230,0))))</f>
        <v>CN-HN</v>
      </c>
      <c r="U313" s="231"/>
      <c r="V313" s="262">
        <f>IF(C313="",NA(),IF(OR(C313="Smelter not listed",C313="Smelter not yet identified"),MATCH($B313&amp;$D313,'Smelter Look-up'!$J:$J,0),MATCH($B313&amp;$C313,'Smelter Look-up'!$J:$J,0)))</f>
        <v>325</v>
      </c>
      <c r="W313" s="263"/>
      <c r="X313" s="263">
        <f t="shared" si="43"/>
        <v>0</v>
      </c>
      <c r="Y313" s="263"/>
      <c r="Z313" s="263"/>
      <c r="AB313" s="265" t="str">
        <f t="shared" si="44"/>
        <v>TantalumChangsha South Tantalum Niobium Co., Ltd.</v>
      </c>
    </row>
    <row r="314" spans="1:28" s="264" customFormat="1" ht="63.75">
      <c r="A314" s="207" t="s">
        <v>749</v>
      </c>
      <c r="B314" s="208" t="s">
        <v>1132</v>
      </c>
      <c r="C314" s="356" t="s">
        <v>45</v>
      </c>
      <c r="D314" s="270"/>
      <c r="E314" s="208" t="s">
        <v>1100</v>
      </c>
      <c r="F314" s="208" t="s">
        <v>749</v>
      </c>
      <c r="G314" s="208" t="s">
        <v>13320</v>
      </c>
      <c r="H314" s="357">
        <v>0</v>
      </c>
      <c r="I314" s="358" t="s">
        <v>1727</v>
      </c>
      <c r="J314" s="358" t="s">
        <v>13704</v>
      </c>
      <c r="K314" s="359"/>
      <c r="L314" s="359"/>
      <c r="M314" s="359"/>
      <c r="N314" s="359"/>
      <c r="O314" s="359"/>
      <c r="P314" s="360"/>
      <c r="Q314" s="361"/>
      <c r="R314" s="208" t="str">
        <f ca="1">IF(ISERROR($V314),"",OFFSET('Smelter Look-up'!$C$4,$V314-4,0)&amp;"")</f>
        <v>F&amp;X Electro-Materials Ltd.</v>
      </c>
      <c r="S314" s="215" t="str">
        <f t="shared" ca="1" si="42"/>
        <v>CN</v>
      </c>
      <c r="T314" s="215" t="str">
        <f ca="1">IF(B314="","",IF(ISERROR(MATCH($J314,SorP!$B$1:$B$6230,0)),"",INDIRECT("'SorP'!$A$"&amp;MATCH($J314,SorP!$B$1:$B$6230,0))))</f>
        <v>CN-GD</v>
      </c>
      <c r="U314" s="231"/>
      <c r="V314" s="262">
        <f>IF(C314="",NA(),IF(OR(C314="Smelter not listed",C314="Smelter not yet identified"),MATCH($B314&amp;$D314,'Smelter Look-up'!$J:$J,0),MATCH($B314&amp;$C314,'Smelter Look-up'!$J:$J,0)))</f>
        <v>330</v>
      </c>
      <c r="W314" s="263"/>
      <c r="X314" s="263">
        <f t="shared" si="43"/>
        <v>0</v>
      </c>
      <c r="Y314" s="263"/>
      <c r="Z314" s="263"/>
      <c r="AB314" s="265" t="str">
        <f t="shared" si="44"/>
        <v>TantalumF&amp;X Electro-Materials Ltd.</v>
      </c>
    </row>
    <row r="315" spans="1:28" s="264" customFormat="1" ht="102">
      <c r="A315" s="207" t="s">
        <v>751</v>
      </c>
      <c r="B315" s="208" t="s">
        <v>1132</v>
      </c>
      <c r="C315" s="356" t="s">
        <v>750</v>
      </c>
      <c r="D315" s="270"/>
      <c r="E315" s="208" t="s">
        <v>1100</v>
      </c>
      <c r="F315" s="208" t="s">
        <v>751</v>
      </c>
      <c r="G315" s="208" t="s">
        <v>13320</v>
      </c>
      <c r="H315" s="357">
        <v>0</v>
      </c>
      <c r="I315" s="358" t="s">
        <v>1729</v>
      </c>
      <c r="J315" s="358" t="s">
        <v>13704</v>
      </c>
      <c r="K315" s="359"/>
      <c r="L315" s="359"/>
      <c r="M315" s="359"/>
      <c r="N315" s="359"/>
      <c r="O315" s="359"/>
      <c r="P315" s="360"/>
      <c r="Q315" s="361"/>
      <c r="R315" s="208" t="str">
        <f ca="1">IF(ISERROR($V315),"",OFFSET('Smelter Look-up'!$C$4,$V315-4,0)&amp;"")</f>
        <v>XIMEI RESOURCES (GUANGDONG) LIMITED</v>
      </c>
      <c r="S315" s="215" t="str">
        <f t="shared" ca="1" si="42"/>
        <v>CN</v>
      </c>
      <c r="T315" s="215" t="str">
        <f ca="1">IF(B315="","",IF(ISERROR(MATCH($J315,SorP!$B$1:$B$6230,0)),"",INDIRECT("'SorP'!$A$"&amp;MATCH($J315,SorP!$B$1:$B$6230,0))))</f>
        <v>CN-GD</v>
      </c>
      <c r="U315" s="231"/>
      <c r="V315" s="262">
        <f>IF(C315="",NA(),IF(OR(C315="Smelter not listed",C315="Smelter not yet identified"),MATCH($B315&amp;$D315,'Smelter Look-up'!$J:$J,0),MATCH($B315&amp;$C315,'Smelter Look-up'!$J:$J,0)))</f>
        <v>334</v>
      </c>
      <c r="W315" s="263"/>
      <c r="X315" s="263">
        <f t="shared" si="43"/>
        <v>0</v>
      </c>
      <c r="Y315" s="263"/>
      <c r="Z315" s="263"/>
      <c r="AB315" s="265" t="str">
        <f t="shared" si="44"/>
        <v>TantalumGuangdong Zhiyuan New Material Co., Ltd.</v>
      </c>
    </row>
    <row r="316" spans="1:28" s="264" customFormat="1" ht="102">
      <c r="A316" s="207" t="s">
        <v>752</v>
      </c>
      <c r="B316" s="208" t="s">
        <v>1132</v>
      </c>
      <c r="C316" s="356" t="s">
        <v>4</v>
      </c>
      <c r="D316" s="270"/>
      <c r="E316" s="208" t="s">
        <v>1100</v>
      </c>
      <c r="F316" s="208" t="s">
        <v>752</v>
      </c>
      <c r="G316" s="208" t="s">
        <v>13320</v>
      </c>
      <c r="H316" s="357">
        <v>0</v>
      </c>
      <c r="I316" s="358" t="s">
        <v>1730</v>
      </c>
      <c r="J316" s="358" t="s">
        <v>13699</v>
      </c>
      <c r="K316" s="359"/>
      <c r="L316" s="359"/>
      <c r="M316" s="359"/>
      <c r="N316" s="359"/>
      <c r="O316" s="359"/>
      <c r="P316" s="360"/>
      <c r="Q316" s="361"/>
      <c r="R316" s="208" t="str">
        <f ca="1">IF(ISERROR($V316),"",OFFSET('Smelter Look-up'!$C$4,$V316-4,0)&amp;"")</f>
        <v>JiuJiang JinXin Nonferrous Metals Co., Ltd.</v>
      </c>
      <c r="S316" s="215" t="str">
        <f t="shared" ca="1" si="42"/>
        <v>CN</v>
      </c>
      <c r="T316" s="215" t="str">
        <f ca="1">IF(B316="","",IF(ISERROR(MATCH($J316,SorP!$B$1:$B$6230,0)),"",INDIRECT("'SorP'!$A$"&amp;MATCH($J316,SorP!$B$1:$B$6230,0))))</f>
        <v>CN-JX</v>
      </c>
      <c r="U316" s="231"/>
      <c r="V316" s="262">
        <f>IF(C316="",NA(),IF(OR(C316="Smelter not listed",C316="Smelter not yet identified"),MATCH($B316&amp;$D316,'Smelter Look-up'!$J:$J,0),MATCH($B316&amp;$C316,'Smelter Look-up'!$J:$J,0)))</f>
        <v>344</v>
      </c>
      <c r="W316" s="263"/>
      <c r="X316" s="263">
        <f t="shared" si="43"/>
        <v>0</v>
      </c>
      <c r="Y316" s="263"/>
      <c r="Z316" s="263"/>
      <c r="AB316" s="265" t="str">
        <f t="shared" si="44"/>
        <v>TantalumJiuJiang JinXin Nonferrous Metals Co., Ltd.</v>
      </c>
    </row>
    <row r="317" spans="1:28" s="264" customFormat="1" ht="76.5">
      <c r="A317" s="207" t="s">
        <v>753</v>
      </c>
      <c r="B317" s="208" t="s">
        <v>1132</v>
      </c>
      <c r="C317" s="356" t="s">
        <v>46</v>
      </c>
      <c r="D317" s="270"/>
      <c r="E317" s="208" t="s">
        <v>1100</v>
      </c>
      <c r="F317" s="208" t="s">
        <v>753</v>
      </c>
      <c r="G317" s="208" t="s">
        <v>13320</v>
      </c>
      <c r="H317" s="357">
        <v>0</v>
      </c>
      <c r="I317" s="358" t="s">
        <v>1730</v>
      </c>
      <c r="J317" s="358" t="s">
        <v>13699</v>
      </c>
      <c r="K317" s="359"/>
      <c r="L317" s="359"/>
      <c r="M317" s="359"/>
      <c r="N317" s="359"/>
      <c r="O317" s="359"/>
      <c r="P317" s="360"/>
      <c r="Q317" s="361"/>
      <c r="R317" s="208" t="str">
        <f ca="1">IF(ISERROR($V317),"",OFFSET('Smelter Look-up'!$C$4,$V317-4,0)&amp;"")</f>
        <v>Jiujiang Tanbre Co., Ltd.</v>
      </c>
      <c r="S317" s="215" t="str">
        <f t="shared" ca="1" si="42"/>
        <v>CN</v>
      </c>
      <c r="T317" s="215" t="str">
        <f ca="1">IF(B317="","",IF(ISERROR(MATCH($J317,SorP!$B$1:$B$6230,0)),"",INDIRECT("'SorP'!$A$"&amp;MATCH($J317,SorP!$B$1:$B$6230,0))))</f>
        <v>CN-JX</v>
      </c>
      <c r="U317" s="231"/>
      <c r="V317" s="262">
        <f>IF(C317="",NA(),IF(OR(C317="Smelter not listed",C317="Smelter not yet identified"),MATCH($B317&amp;$D317,'Smelter Look-up'!$J:$J,0),MATCH($B317&amp;$C317,'Smelter Look-up'!$J:$J,0)))</f>
        <v>346</v>
      </c>
      <c r="W317" s="263"/>
      <c r="X317" s="263">
        <f t="shared" si="43"/>
        <v>0</v>
      </c>
      <c r="Y317" s="263"/>
      <c r="Z317" s="263"/>
      <c r="AB317" s="265" t="str">
        <f t="shared" si="44"/>
        <v>TantalumJiujiang Tanbre Co., Ltd.</v>
      </c>
    </row>
    <row r="318" spans="1:28" s="264" customFormat="1" ht="89.25">
      <c r="A318" s="207" t="s">
        <v>755</v>
      </c>
      <c r="B318" s="208" t="s">
        <v>1132</v>
      </c>
      <c r="C318" s="356" t="s">
        <v>2166</v>
      </c>
      <c r="D318" s="270"/>
      <c r="E318" s="208" t="s">
        <v>1106</v>
      </c>
      <c r="F318" s="208" t="s">
        <v>755</v>
      </c>
      <c r="G318" s="208" t="s">
        <v>13320</v>
      </c>
      <c r="H318" s="357">
        <v>0</v>
      </c>
      <c r="I318" s="358" t="s">
        <v>1732</v>
      </c>
      <c r="J318" s="358" t="s">
        <v>1733</v>
      </c>
      <c r="K318" s="359"/>
      <c r="L318" s="359"/>
      <c r="M318" s="359"/>
      <c r="N318" s="359"/>
      <c r="O318" s="359"/>
      <c r="P318" s="360"/>
      <c r="Q318" s="361"/>
      <c r="R318" s="208" t="str">
        <f ca="1">IF(ISERROR($V318),"",OFFSET('Smelter Look-up'!$C$4,$V318-4,0)&amp;"")</f>
        <v>Metallurgical Products India Pvt., Ltd.</v>
      </c>
      <c r="S318" s="215" t="str">
        <f t="shared" ca="1" si="42"/>
        <v>IN</v>
      </c>
      <c r="T318" s="215" t="str">
        <f ca="1">IF(B318="","",IF(ISERROR(MATCH($J318,SorP!$B$1:$B$6230,0)),"",INDIRECT("'SorP'!$A$"&amp;MATCH($J318,SorP!$B$1:$B$6230,0))))</f>
        <v>IN-MH</v>
      </c>
      <c r="U318" s="231"/>
      <c r="V318" s="262">
        <f>IF(C318="",NA(),IF(OR(C318="Smelter not listed",C318="Smelter not yet identified"),MATCH($B318&amp;$D318,'Smelter Look-up'!$J:$J,0),MATCH($B318&amp;$C318,'Smelter Look-up'!$J:$J,0)))</f>
        <v>352</v>
      </c>
      <c r="W318" s="263"/>
      <c r="X318" s="263">
        <f t="shared" si="43"/>
        <v>0</v>
      </c>
      <c r="Y318" s="263"/>
      <c r="Z318" s="263"/>
      <c r="AB318" s="265" t="str">
        <f t="shared" si="44"/>
        <v>TantalumMetallurgical Products India Pvt., Ltd.</v>
      </c>
    </row>
    <row r="319" spans="1:28" s="264" customFormat="1" ht="102">
      <c r="A319" s="207" t="s">
        <v>759</v>
      </c>
      <c r="B319" s="208" t="s">
        <v>1132</v>
      </c>
      <c r="C319" s="356" t="s">
        <v>1030</v>
      </c>
      <c r="D319" s="270"/>
      <c r="E319" s="208" t="s">
        <v>1100</v>
      </c>
      <c r="F319" s="208" t="s">
        <v>759</v>
      </c>
      <c r="G319" s="208" t="s">
        <v>13320</v>
      </c>
      <c r="H319" s="357">
        <v>0</v>
      </c>
      <c r="I319" s="358" t="s">
        <v>1741</v>
      </c>
      <c r="J319" s="358" t="s">
        <v>13685</v>
      </c>
      <c r="K319" s="359"/>
      <c r="L319" s="359"/>
      <c r="M319" s="359"/>
      <c r="N319" s="359"/>
      <c r="O319" s="359"/>
      <c r="P319" s="360"/>
      <c r="Q319" s="361"/>
      <c r="R319" s="208" t="str">
        <f ca="1">IF(ISERROR($V319),"",OFFSET('Smelter Look-up'!$C$4,$V319-4,0)&amp;"")</f>
        <v>Ningxia Orient Tantalum Industry Co., Ltd.</v>
      </c>
      <c r="S319" s="215" t="str">
        <f t="shared" ca="1" si="42"/>
        <v>CN</v>
      </c>
      <c r="T319" s="215" t="str">
        <f ca="1">IF(B319="","",IF(ISERROR(MATCH($J319,SorP!$B$1:$B$6230,0)),"",INDIRECT("'SorP'!$A$"&amp;MATCH($J319,SorP!$B$1:$B$6230,0))))</f>
        <v>CN-NX</v>
      </c>
      <c r="U319" s="231"/>
      <c r="V319" s="262">
        <f>IF(C319="",NA(),IF(OR(C319="Smelter not listed",C319="Smelter not yet identified"),MATCH($B319&amp;$D319,'Smelter Look-up'!$J:$J,0),MATCH($B319&amp;$C319,'Smelter Look-up'!$J:$J,0)))</f>
        <v>360</v>
      </c>
      <c r="W319" s="263"/>
      <c r="X319" s="263">
        <f t="shared" si="43"/>
        <v>0</v>
      </c>
      <c r="Y319" s="263"/>
      <c r="Z319" s="263"/>
      <c r="AB319" s="265" t="str">
        <f t="shared" si="44"/>
        <v>TantalumNingxia Orient Tantalum Industry Co., Ltd.</v>
      </c>
    </row>
    <row r="320" spans="1:28" s="264" customFormat="1" ht="38.25">
      <c r="A320" s="207" t="s">
        <v>764</v>
      </c>
      <c r="B320" s="208" t="s">
        <v>1132</v>
      </c>
      <c r="C320" s="356" t="s">
        <v>1746</v>
      </c>
      <c r="D320" s="270"/>
      <c r="E320" s="208" t="s">
        <v>2456</v>
      </c>
      <c r="F320" s="208" t="s">
        <v>764</v>
      </c>
      <c r="G320" s="208" t="s">
        <v>13320</v>
      </c>
      <c r="H320" s="357">
        <v>0</v>
      </c>
      <c r="I320" s="358" t="s">
        <v>1747</v>
      </c>
      <c r="J320" s="358" t="s">
        <v>1748</v>
      </c>
      <c r="K320" s="359"/>
      <c r="L320" s="359"/>
      <c r="M320" s="359"/>
      <c r="N320" s="359"/>
      <c r="O320" s="359"/>
      <c r="P320" s="360"/>
      <c r="Q320" s="361"/>
      <c r="R320" s="208" t="str">
        <f ca="1">IF(ISERROR($V320),"",OFFSET('Smelter Look-up'!$C$4,$V320-4,0)&amp;"")</f>
        <v>Telex Metals</v>
      </c>
      <c r="S320" s="215" t="str">
        <f t="shared" ca="1" si="42"/>
        <v>US</v>
      </c>
      <c r="T320" s="215" t="str">
        <f ca="1">IF(B320="","",IF(ISERROR(MATCH($J320,SorP!$B$1:$B$6230,0)),"",INDIRECT("'SorP'!$A$"&amp;MATCH($J320,SorP!$B$1:$B$6230,0))))</f>
        <v>US-PA</v>
      </c>
      <c r="U320" s="231"/>
      <c r="V320" s="262">
        <f>IF(C320="",NA(),IF(OR(C320="Smelter not listed",C320="Smelter not yet identified"),MATCH($B320&amp;$D320,'Smelter Look-up'!$J:$J,0),MATCH($B320&amp;$C320,'Smelter Look-up'!$J:$J,0)))</f>
        <v>378</v>
      </c>
      <c r="W320" s="263"/>
      <c r="X320" s="263">
        <f t="shared" si="43"/>
        <v>0</v>
      </c>
      <c r="Y320" s="263"/>
      <c r="Z320" s="263"/>
      <c r="AB320" s="265" t="str">
        <f t="shared" si="44"/>
        <v>TantalumTelex Metals</v>
      </c>
    </row>
    <row r="321" spans="1:28" s="264" customFormat="1" ht="76.5">
      <c r="A321" s="207" t="s">
        <v>765</v>
      </c>
      <c r="B321" s="208" t="s">
        <v>1132</v>
      </c>
      <c r="C321" s="356" t="s">
        <v>1749</v>
      </c>
      <c r="D321" s="270"/>
      <c r="E321" s="208" t="s">
        <v>1109</v>
      </c>
      <c r="F321" s="208" t="s">
        <v>765</v>
      </c>
      <c r="G321" s="208" t="s">
        <v>13320</v>
      </c>
      <c r="H321" s="357">
        <v>0</v>
      </c>
      <c r="I321" s="358" t="s">
        <v>1613</v>
      </c>
      <c r="J321" s="358" t="s">
        <v>7109</v>
      </c>
      <c r="K321" s="359"/>
      <c r="L321" s="359"/>
      <c r="M321" s="359"/>
      <c r="N321" s="359"/>
      <c r="O321" s="359"/>
      <c r="P321" s="360"/>
      <c r="Q321" s="361"/>
      <c r="R321" s="208" t="str">
        <f ca="1">IF(ISERROR($V321),"",OFFSET('Smelter Look-up'!$C$4,$V321-4,0)&amp;"")</f>
        <v>Ulba Metallurgical Plant JSC</v>
      </c>
      <c r="S321" s="215" t="str">
        <f t="shared" ca="1" si="42"/>
        <v>KZ</v>
      </c>
      <c r="T321" s="215" t="str">
        <f ca="1">IF(B321="","",IF(ISERROR(MATCH($J321,SorP!$B$1:$B$6230,0)),"",INDIRECT("'SorP'!$A$"&amp;MATCH($J321,SorP!$B$1:$B$6230,0))))</f>
        <v>KZ-KAR</v>
      </c>
      <c r="U321" s="231"/>
      <c r="V321" s="262">
        <f>IF(C321="",NA(),IF(OR(C321="Smelter not listed",C321="Smelter not yet identified"),MATCH($B321&amp;$D321,'Smelter Look-up'!$J:$J,0),MATCH($B321&amp;$C321,'Smelter Look-up'!$J:$J,0)))</f>
        <v>380</v>
      </c>
      <c r="W321" s="263"/>
      <c r="X321" s="263">
        <f t="shared" si="43"/>
        <v>0</v>
      </c>
      <c r="Y321" s="263"/>
      <c r="Z321" s="263"/>
      <c r="AB321" s="265" t="str">
        <f t="shared" si="44"/>
        <v>TantalumUlba Metallurgical Plant JSC</v>
      </c>
    </row>
    <row r="322" spans="1:28" s="264" customFormat="1" ht="114.75">
      <c r="A322" s="207" t="s">
        <v>396</v>
      </c>
      <c r="B322" s="208" t="s">
        <v>1132</v>
      </c>
      <c r="C322" s="356" t="s">
        <v>3</v>
      </c>
      <c r="D322" s="270"/>
      <c r="E322" s="208" t="s">
        <v>1100</v>
      </c>
      <c r="F322" s="208" t="s">
        <v>396</v>
      </c>
      <c r="G322" s="208" t="s">
        <v>13320</v>
      </c>
      <c r="H322" s="357">
        <v>0</v>
      </c>
      <c r="I322" s="358" t="s">
        <v>1751</v>
      </c>
      <c r="J322" s="358" t="s">
        <v>13703</v>
      </c>
      <c r="K322" s="359"/>
      <c r="L322" s="359"/>
      <c r="M322" s="359"/>
      <c r="N322" s="359"/>
      <c r="O322" s="359"/>
      <c r="P322" s="360"/>
      <c r="Q322" s="361"/>
      <c r="R322" s="208" t="str">
        <f ca="1">IF(ISERROR($V322),"",OFFSET('Smelter Look-up'!$C$4,$V322-4,0)&amp;"")</f>
        <v>Hengyang King Xing Lifeng New Materials Co., Ltd.</v>
      </c>
      <c r="S322" s="215" t="str">
        <f t="shared" ca="1" si="42"/>
        <v>CN</v>
      </c>
      <c r="T322" s="215" t="str">
        <f ca="1">IF(B322="","",IF(ISERROR(MATCH($J322,SorP!$B$1:$B$6230,0)),"",INDIRECT("'SorP'!$A$"&amp;MATCH($J322,SorP!$B$1:$B$6230,0))))</f>
        <v>CN-HN</v>
      </c>
      <c r="U322" s="231"/>
      <c r="V322" s="262">
        <f>IF(C322="",NA(),IF(OR(C322="Smelter not listed",C322="Smelter not yet identified"),MATCH($B322&amp;$D322,'Smelter Look-up'!$J:$J,0),MATCH($B322&amp;$C322,'Smelter Look-up'!$J:$J,0)))</f>
        <v>341</v>
      </c>
      <c r="W322" s="263"/>
      <c r="X322" s="263">
        <f t="shared" si="43"/>
        <v>0</v>
      </c>
      <c r="Y322" s="263"/>
      <c r="Z322" s="263"/>
      <c r="AB322" s="265" t="str">
        <f t="shared" si="44"/>
        <v>TantalumHengyang King Xing Lifeng New Materials Co., Ltd.</v>
      </c>
    </row>
    <row r="323" spans="1:28" s="264" customFormat="1" ht="63.75">
      <c r="A323" s="207" t="s">
        <v>1396</v>
      </c>
      <c r="B323" s="208" t="s">
        <v>1132</v>
      </c>
      <c r="C323" s="356" t="s">
        <v>1395</v>
      </c>
      <c r="D323" s="270"/>
      <c r="E323" s="208" t="s">
        <v>2456</v>
      </c>
      <c r="F323" s="208" t="s">
        <v>1396</v>
      </c>
      <c r="G323" s="208" t="s">
        <v>13320</v>
      </c>
      <c r="H323" s="357">
        <v>0</v>
      </c>
      <c r="I323" s="358" t="s">
        <v>1752</v>
      </c>
      <c r="J323" s="358" t="s">
        <v>1753</v>
      </c>
      <c r="K323" s="359"/>
      <c r="L323" s="359"/>
      <c r="M323" s="359"/>
      <c r="N323" s="359"/>
      <c r="O323" s="359"/>
      <c r="P323" s="360"/>
      <c r="Q323" s="361"/>
      <c r="R323" s="208" t="str">
        <f ca="1">IF(ISERROR($V323),"",OFFSET('Smelter Look-up'!$C$4,$V323-4,0)&amp;"")</f>
        <v>D Block Metals, LLC</v>
      </c>
      <c r="S323" s="215" t="str">
        <f t="shared" ca="1" si="42"/>
        <v>US</v>
      </c>
      <c r="T323" s="215" t="str">
        <f ca="1">IF(B323="","",IF(ISERROR(MATCH($J323,SorP!$B$1:$B$6230,0)),"",INDIRECT("'SorP'!$A$"&amp;MATCH($J323,SorP!$B$1:$B$6230,0))))</f>
        <v>US-NC</v>
      </c>
      <c r="U323" s="231"/>
      <c r="V323" s="262">
        <f>IF(C323="",NA(),IF(OR(C323="Smelter not listed",C323="Smelter not yet identified"),MATCH($B323&amp;$D323,'Smelter Look-up'!$J:$J,0),MATCH($B323&amp;$C323,'Smelter Look-up'!$J:$J,0)))</f>
        <v>327</v>
      </c>
      <c r="W323" s="263"/>
      <c r="X323" s="263">
        <f t="shared" si="43"/>
        <v>0</v>
      </c>
      <c r="Y323" s="263"/>
      <c r="Z323" s="263"/>
      <c r="AB323" s="265" t="str">
        <f t="shared" si="44"/>
        <v>TantalumD Block Metals, LLC</v>
      </c>
    </row>
    <row r="324" spans="1:28" s="264" customFormat="1" ht="76.5">
      <c r="A324" s="207" t="s">
        <v>1397</v>
      </c>
      <c r="B324" s="208" t="s">
        <v>1132</v>
      </c>
      <c r="C324" s="356" t="s">
        <v>2183</v>
      </c>
      <c r="D324" s="270"/>
      <c r="E324" s="208" t="s">
        <v>1100</v>
      </c>
      <c r="F324" s="208" t="s">
        <v>1397</v>
      </c>
      <c r="G324" s="208" t="s">
        <v>13320</v>
      </c>
      <c r="H324" s="357">
        <v>0</v>
      </c>
      <c r="I324" s="358" t="s">
        <v>1743</v>
      </c>
      <c r="J324" s="358" t="s">
        <v>13703</v>
      </c>
      <c r="K324" s="359"/>
      <c r="L324" s="359"/>
      <c r="M324" s="359"/>
      <c r="N324" s="359"/>
      <c r="O324" s="359"/>
      <c r="P324" s="360"/>
      <c r="Q324" s="361"/>
      <c r="R324" s="208" t="str">
        <f ca="1">IF(ISERROR($V324),"",OFFSET('Smelter Look-up'!$C$4,$V324-4,0)&amp;"")</f>
        <v>FIR Metals &amp; Resource Ltd.</v>
      </c>
      <c r="S324" s="215" t="str">
        <f t="shared" ca="1" si="42"/>
        <v>CN</v>
      </c>
      <c r="T324" s="215" t="str">
        <f ca="1">IF(B324="","",IF(ISERROR(MATCH($J324,SorP!$B$1:$B$6230,0)),"",INDIRECT("'SorP'!$A$"&amp;MATCH($J324,SorP!$B$1:$B$6230,0))))</f>
        <v>CN-HN</v>
      </c>
      <c r="U324" s="231"/>
      <c r="V324" s="262">
        <f>IF(C324="",NA(),IF(OR(C324="Smelter not listed",C324="Smelter not yet identified"),MATCH($B324&amp;$D324,'Smelter Look-up'!$J:$J,0),MATCH($B324&amp;$C324,'Smelter Look-up'!$J:$J,0)))</f>
        <v>331</v>
      </c>
      <c r="W324" s="263"/>
      <c r="X324" s="263">
        <f t="shared" si="43"/>
        <v>0</v>
      </c>
      <c r="Y324" s="263"/>
      <c r="Z324" s="263"/>
      <c r="AB324" s="265" t="str">
        <f t="shared" si="44"/>
        <v>TantalumFIR Metals &amp; Resource Ltd.</v>
      </c>
    </row>
    <row r="325" spans="1:28" s="264" customFormat="1" ht="63.75">
      <c r="A325" s="207" t="s">
        <v>1416</v>
      </c>
      <c r="B325" s="208" t="s">
        <v>1132</v>
      </c>
      <c r="C325" s="356" t="s">
        <v>1415</v>
      </c>
      <c r="D325" s="270"/>
      <c r="E325" s="208" t="s">
        <v>888</v>
      </c>
      <c r="F325" s="208" t="s">
        <v>1416</v>
      </c>
      <c r="G325" s="208" t="s">
        <v>13320</v>
      </c>
      <c r="H325" s="357">
        <v>0</v>
      </c>
      <c r="I325" s="358" t="s">
        <v>1758</v>
      </c>
      <c r="J325" s="358" t="s">
        <v>1759</v>
      </c>
      <c r="K325" s="359"/>
      <c r="L325" s="359"/>
      <c r="M325" s="359"/>
      <c r="N325" s="359"/>
      <c r="O325" s="359"/>
      <c r="P325" s="360"/>
      <c r="Q325" s="361"/>
      <c r="R325" s="208" t="str">
        <f ca="1">IF(ISERROR($V325),"",OFFSET('Smelter Look-up'!$C$4,$V325-4,0)&amp;"")</f>
        <v>TANIOBIS Co., Ltd.</v>
      </c>
      <c r="S325" s="215" t="str">
        <f t="shared" ref="S325" ca="1" si="45">IF(B325="","",IF(ISERROR(MATCH($E325,CL,0)),"Unknown",INDIRECT("'C'!$A$"&amp;MATCH($E325,CL,0)+1)))</f>
        <v>TH</v>
      </c>
      <c r="T325" s="215" t="str">
        <f ca="1">IF(B325="","",IF(ISERROR(MATCH($J325,SorP!$B$1:$B$6230,0)),"",INDIRECT("'SorP'!$A$"&amp;MATCH($J325,SorP!$B$1:$B$6230,0))))</f>
        <v>TH-21</v>
      </c>
      <c r="U325" s="231"/>
      <c r="V325" s="262">
        <f>IF(C325="",NA(),IF(OR(C325="Smelter not listed",C325="Smelter not yet identified"),MATCH($B325&amp;$D325,'Smelter Look-up'!$J:$J,0),MATCH($B325&amp;$C325,'Smelter Look-up'!$J:$J,0)))</f>
        <v>335</v>
      </c>
      <c r="W325" s="263"/>
      <c r="X325" s="263">
        <f t="shared" ref="X325" si="46">IF(AND(C325="Smelter not listed",OR(LEN(D325)=0,LEN(E325)=0)),1,0)</f>
        <v>0</v>
      </c>
      <c r="Y325" s="263"/>
      <c r="Z325" s="263"/>
      <c r="AB325" s="265" t="str">
        <f t="shared" ref="AB325" si="47">B325&amp;C325</f>
        <v>TantalumH.C. Starck Co., Ltd.</v>
      </c>
    </row>
    <row r="326" spans="1:28" s="264" customFormat="1" ht="89.25">
      <c r="A326" s="207" t="s">
        <v>1417</v>
      </c>
      <c r="B326" s="208" t="s">
        <v>1132</v>
      </c>
      <c r="C326" s="356" t="s">
        <v>2548</v>
      </c>
      <c r="D326" s="270"/>
      <c r="E326" s="208" t="s">
        <v>1101</v>
      </c>
      <c r="F326" s="208" t="s">
        <v>1417</v>
      </c>
      <c r="G326" s="208" t="s">
        <v>13320</v>
      </c>
      <c r="H326" s="357">
        <v>0</v>
      </c>
      <c r="I326" s="358" t="s">
        <v>1760</v>
      </c>
      <c r="J326" s="358" t="s">
        <v>4270</v>
      </c>
      <c r="K326" s="359"/>
      <c r="L326" s="359"/>
      <c r="M326" s="359"/>
      <c r="N326" s="359"/>
      <c r="O326" s="359"/>
      <c r="P326" s="360"/>
      <c r="Q326" s="361"/>
      <c r="R326" s="208" t="str">
        <f ca="1">IF(ISERROR($V326),"",OFFSET('Smelter Look-up'!$C$4,$V326-4,0)&amp;"")</f>
        <v>TANIOBIS GmbH</v>
      </c>
      <c r="S326" s="215" t="str">
        <f t="shared" ref="S326:S357" ca="1" si="48">IF(B326="","",IF(ISERROR(MATCH($E326,CL,0)),"Unknown",INDIRECT("'C'!$A$"&amp;MATCH($E326,CL,0)+1)))</f>
        <v>DE</v>
      </c>
      <c r="T326" s="215" t="str">
        <f ca="1">IF(B326="","",IF(ISERROR(MATCH($J326,SorP!$B$1:$B$6230,0)),"",INDIRECT("'SorP'!$A$"&amp;MATCH($J326,SorP!$B$1:$B$6230,0))))</f>
        <v>DE-NI</v>
      </c>
      <c r="U326" s="231"/>
      <c r="V326" s="262">
        <f>IF(C326="",NA(),IF(OR(C326="Smelter not listed",C326="Smelter not yet identified"),MATCH($B326&amp;$D326,'Smelter Look-up'!$J:$J,0),MATCH($B326&amp;$C326,'Smelter Look-up'!$J:$J,0)))</f>
        <v>340</v>
      </c>
      <c r="W326" s="263"/>
      <c r="X326" s="263">
        <f t="shared" ref="X326:X357" si="49">IF(AND(C326="Smelter not listed",OR(LEN(D326)=0,LEN(E326)=0)),1,0)</f>
        <v>0</v>
      </c>
      <c r="Y326" s="263"/>
      <c r="Z326" s="263"/>
      <c r="AB326" s="265" t="str">
        <f t="shared" ref="AB326:AB357" si="50">B326&amp;C326</f>
        <v>TantalumH.C. Starck Tantalum and Niobium GmbH</v>
      </c>
    </row>
    <row r="327" spans="1:28" s="264" customFormat="1" ht="63.75">
      <c r="A327" s="207" t="s">
        <v>1419</v>
      </c>
      <c r="B327" s="208" t="s">
        <v>1132</v>
      </c>
      <c r="C327" s="356" t="s">
        <v>1418</v>
      </c>
      <c r="D327" s="270"/>
      <c r="E327" s="208" t="s">
        <v>1101</v>
      </c>
      <c r="F327" s="208" t="s">
        <v>1419</v>
      </c>
      <c r="G327" s="208" t="s">
        <v>13320</v>
      </c>
      <c r="H327" s="357">
        <v>0</v>
      </c>
      <c r="I327" s="358" t="s">
        <v>1762</v>
      </c>
      <c r="J327" s="358" t="s">
        <v>4248</v>
      </c>
      <c r="K327" s="359"/>
      <c r="L327" s="359"/>
      <c r="M327" s="359"/>
      <c r="N327" s="359"/>
      <c r="O327" s="359"/>
      <c r="P327" s="360"/>
      <c r="Q327" s="361"/>
      <c r="R327" s="208" t="str">
        <f ca="1">IF(ISERROR($V327),"",OFFSET('Smelter Look-up'!$C$4,$V327-4,0)&amp;"")</f>
        <v>H.C. Starck Hermsdorf GmbH</v>
      </c>
      <c r="S327" s="215" t="str">
        <f t="shared" ca="1" si="48"/>
        <v>DE</v>
      </c>
      <c r="T327" s="215" t="str">
        <f ca="1">IF(B327="","",IF(ISERROR(MATCH($J327,SorP!$B$1:$B$6230,0)),"",INDIRECT("'SorP'!$A$"&amp;MATCH($J327,SorP!$B$1:$B$6230,0))))</f>
        <v>DE-TH</v>
      </c>
      <c r="U327" s="231"/>
      <c r="V327" s="262">
        <f>IF(C327="",NA(),IF(OR(C327="Smelter not listed",C327="Smelter not yet identified"),MATCH($B327&amp;$D327,'Smelter Look-up'!$J:$J,0),MATCH($B327&amp;$C327,'Smelter Look-up'!$J:$J,0)))</f>
        <v>336</v>
      </c>
      <c r="W327" s="263"/>
      <c r="X327" s="263">
        <f t="shared" si="49"/>
        <v>0</v>
      </c>
      <c r="Y327" s="263"/>
      <c r="Z327" s="263"/>
      <c r="AB327" s="265" t="str">
        <f t="shared" si="50"/>
        <v>TantalumH.C. Starck Hermsdorf GmbH</v>
      </c>
    </row>
    <row r="328" spans="1:28" s="264" customFormat="1" ht="51">
      <c r="A328" s="207" t="s">
        <v>1421</v>
      </c>
      <c r="B328" s="208" t="s">
        <v>1132</v>
      </c>
      <c r="C328" s="356" t="s">
        <v>1420</v>
      </c>
      <c r="D328" s="270"/>
      <c r="E328" s="208" t="s">
        <v>2456</v>
      </c>
      <c r="F328" s="208" t="s">
        <v>1421</v>
      </c>
      <c r="G328" s="208" t="s">
        <v>13320</v>
      </c>
      <c r="H328" s="357">
        <v>0</v>
      </c>
      <c r="I328" s="358" t="s">
        <v>1763</v>
      </c>
      <c r="J328" s="358" t="s">
        <v>1632</v>
      </c>
      <c r="K328" s="359"/>
      <c r="L328" s="359"/>
      <c r="M328" s="359"/>
      <c r="N328" s="359"/>
      <c r="O328" s="359"/>
      <c r="P328" s="360"/>
      <c r="Q328" s="361"/>
      <c r="R328" s="208" t="str">
        <f ca="1">IF(ISERROR($V328),"",OFFSET('Smelter Look-up'!$C$4,$V328-4,0)&amp;"")</f>
        <v>H.C. Starck Inc.</v>
      </c>
      <c r="S328" s="215" t="str">
        <f t="shared" ca="1" si="48"/>
        <v>US</v>
      </c>
      <c r="T328" s="215" t="str">
        <f ca="1">IF(B328="","",IF(ISERROR(MATCH($J328,SorP!$B$1:$B$6230,0)),"",INDIRECT("'SorP'!$A$"&amp;MATCH($J328,SorP!$B$1:$B$6230,0))))</f>
        <v>US-MA</v>
      </c>
      <c r="U328" s="231"/>
      <c r="V328" s="262">
        <f>IF(C328="",NA(),IF(OR(C328="Smelter not listed",C328="Smelter not yet identified"),MATCH($B328&amp;$D328,'Smelter Look-up'!$J:$J,0),MATCH($B328&amp;$C328,'Smelter Look-up'!$J:$J,0)))</f>
        <v>337</v>
      </c>
      <c r="W328" s="263"/>
      <c r="X328" s="263">
        <f t="shared" si="49"/>
        <v>0</v>
      </c>
      <c r="Y328" s="263"/>
      <c r="Z328" s="263"/>
      <c r="AB328" s="265" t="str">
        <f t="shared" si="50"/>
        <v>TantalumH.C. Starck Inc.</v>
      </c>
    </row>
    <row r="329" spans="1:28" s="264" customFormat="1" ht="51">
      <c r="A329" s="207" t="s">
        <v>1423</v>
      </c>
      <c r="B329" s="208" t="s">
        <v>1132</v>
      </c>
      <c r="C329" s="356" t="s">
        <v>1422</v>
      </c>
      <c r="D329" s="270"/>
      <c r="E329" s="208" t="s">
        <v>1108</v>
      </c>
      <c r="F329" s="208" t="s">
        <v>1423</v>
      </c>
      <c r="G329" s="208" t="s">
        <v>13320</v>
      </c>
      <c r="H329" s="357">
        <v>0</v>
      </c>
      <c r="I329" s="358" t="s">
        <v>1764</v>
      </c>
      <c r="J329" s="358" t="s">
        <v>1765</v>
      </c>
      <c r="K329" s="359"/>
      <c r="L329" s="359"/>
      <c r="M329" s="359"/>
      <c r="N329" s="359"/>
      <c r="O329" s="359"/>
      <c r="P329" s="360"/>
      <c r="Q329" s="361"/>
      <c r="R329" s="208" t="str">
        <f ca="1">IF(ISERROR($V329),"",OFFSET('Smelter Look-up'!$C$4,$V329-4,0)&amp;"")</f>
        <v>TANIOBIS Japan Co., Ltd.</v>
      </c>
      <c r="S329" s="215" t="str">
        <f t="shared" ca="1" si="48"/>
        <v>JP</v>
      </c>
      <c r="T329" s="215" t="str">
        <f ca="1">IF(B329="","",IF(ISERROR(MATCH($J329,SorP!$B$1:$B$6230,0)),"",INDIRECT("'SorP'!$A$"&amp;MATCH($J329,SorP!$B$1:$B$6230,0))))</f>
        <v>JP-08</v>
      </c>
      <c r="U329" s="231"/>
      <c r="V329" s="262">
        <f>IF(C329="",NA(),IF(OR(C329="Smelter not listed",C329="Smelter not yet identified"),MATCH($B329&amp;$D329,'Smelter Look-up'!$J:$J,0),MATCH($B329&amp;$C329,'Smelter Look-up'!$J:$J,0)))</f>
        <v>338</v>
      </c>
      <c r="W329" s="263"/>
      <c r="X329" s="263">
        <f t="shared" si="49"/>
        <v>0</v>
      </c>
      <c r="Y329" s="263"/>
      <c r="Z329" s="263"/>
      <c r="AB329" s="265" t="str">
        <f t="shared" si="50"/>
        <v>TantalumH.C. Starck Ltd.</v>
      </c>
    </row>
    <row r="330" spans="1:28" s="264" customFormat="1" ht="76.5">
      <c r="A330" s="207" t="s">
        <v>1424</v>
      </c>
      <c r="B330" s="208" t="s">
        <v>1132</v>
      </c>
      <c r="C330" s="356" t="s">
        <v>2357</v>
      </c>
      <c r="D330" s="270"/>
      <c r="E330" s="208" t="s">
        <v>1101</v>
      </c>
      <c r="F330" s="208" t="s">
        <v>1424</v>
      </c>
      <c r="G330" s="208" t="s">
        <v>13320</v>
      </c>
      <c r="H330" s="357">
        <v>0</v>
      </c>
      <c r="I330" s="358" t="s">
        <v>1761</v>
      </c>
      <c r="J330" s="358" t="s">
        <v>1550</v>
      </c>
      <c r="K330" s="359"/>
      <c r="L330" s="359"/>
      <c r="M330" s="359"/>
      <c r="N330" s="359"/>
      <c r="O330" s="359"/>
      <c r="P330" s="360"/>
      <c r="Q330" s="361"/>
      <c r="R330" s="208" t="str">
        <f ca="1">IF(ISERROR($V330),"",OFFSET('Smelter Look-up'!$C$4,$V330-4,0)&amp;"")</f>
        <v>TANIOBIS Smelting GmbH &amp; Co. KG</v>
      </c>
      <c r="S330" s="215" t="str">
        <f t="shared" ca="1" si="48"/>
        <v>DE</v>
      </c>
      <c r="T330" s="215" t="str">
        <f ca="1">IF(B330="","",IF(ISERROR(MATCH($J330,SorP!$B$1:$B$6230,0)),"",INDIRECT("'SorP'!$A$"&amp;MATCH($J330,SorP!$B$1:$B$6230,0))))</f>
        <v>DE-BW</v>
      </c>
      <c r="U330" s="231"/>
      <c r="V330" s="262">
        <f>IF(C330="",NA(),IF(OR(C330="Smelter not listed",C330="Smelter not yet identified"),MATCH($B330&amp;$D330,'Smelter Look-up'!$J:$J,0),MATCH($B330&amp;$C330,'Smelter Look-up'!$J:$J,0)))</f>
        <v>339</v>
      </c>
      <c r="W330" s="263"/>
      <c r="X330" s="263">
        <f t="shared" si="49"/>
        <v>0</v>
      </c>
      <c r="Y330" s="263"/>
      <c r="Z330" s="263"/>
      <c r="AB330" s="265" t="str">
        <f t="shared" si="50"/>
        <v>TantalumH.C. Starck Smelting GmbH &amp; Co. KG</v>
      </c>
    </row>
    <row r="331" spans="1:28" s="264" customFormat="1" ht="89.25">
      <c r="A331" s="207" t="s">
        <v>1414</v>
      </c>
      <c r="B331" s="208" t="s">
        <v>1132</v>
      </c>
      <c r="C331" s="356" t="s">
        <v>1413</v>
      </c>
      <c r="D331" s="270"/>
      <c r="E331" s="208" t="s">
        <v>2456</v>
      </c>
      <c r="F331" s="208" t="s">
        <v>1414</v>
      </c>
      <c r="G331" s="208" t="s">
        <v>13320</v>
      </c>
      <c r="H331" s="357">
        <v>0</v>
      </c>
      <c r="I331" s="358" t="s">
        <v>1766</v>
      </c>
      <c r="J331" s="358" t="s">
        <v>1748</v>
      </c>
      <c r="K331" s="359"/>
      <c r="L331" s="359"/>
      <c r="M331" s="359"/>
      <c r="N331" s="359"/>
      <c r="O331" s="359"/>
      <c r="P331" s="360"/>
      <c r="Q331" s="361"/>
      <c r="R331" s="208" t="str">
        <f ca="1">IF(ISERROR($V331),"",OFFSET('Smelter Look-up'!$C$4,$V331-4,0)&amp;"")</f>
        <v>Global Advanced Metals Boyertown</v>
      </c>
      <c r="S331" s="215" t="str">
        <f t="shared" ca="1" si="48"/>
        <v>US</v>
      </c>
      <c r="T331" s="215" t="str">
        <f ca="1">IF(B331="","",IF(ISERROR(MATCH($J331,SorP!$B$1:$B$6230,0)),"",INDIRECT("'SorP'!$A$"&amp;MATCH($J331,SorP!$B$1:$B$6230,0))))</f>
        <v>US-PA</v>
      </c>
      <c r="U331" s="231"/>
      <c r="V331" s="262">
        <f>IF(C331="",NA(),IF(OR(C331="Smelter not listed",C331="Smelter not yet identified"),MATCH($B331&amp;$D331,'Smelter Look-up'!$J:$J,0),MATCH($B331&amp;$C331,'Smelter Look-up'!$J:$J,0)))</f>
        <v>333</v>
      </c>
      <c r="W331" s="263"/>
      <c r="X331" s="263">
        <f t="shared" si="49"/>
        <v>0</v>
      </c>
      <c r="Y331" s="263"/>
      <c r="Z331" s="263"/>
      <c r="AB331" s="265" t="str">
        <f t="shared" si="50"/>
        <v>TantalumGlobal Advanced Metals Boyertown</v>
      </c>
    </row>
    <row r="332" spans="1:28" s="264" customFormat="1" ht="63.75">
      <c r="A332" s="207" t="s">
        <v>793</v>
      </c>
      <c r="B332" s="208" t="s">
        <v>1133</v>
      </c>
      <c r="C332" s="356" t="s">
        <v>148</v>
      </c>
      <c r="D332" s="270"/>
      <c r="E332" s="208" t="s">
        <v>2456</v>
      </c>
      <c r="F332" s="208" t="s">
        <v>793</v>
      </c>
      <c r="G332" s="208" t="s">
        <v>13320</v>
      </c>
      <c r="H332" s="357">
        <v>0</v>
      </c>
      <c r="I332" s="358" t="s">
        <v>1836</v>
      </c>
      <c r="J332" s="358" t="s">
        <v>1837</v>
      </c>
      <c r="K332" s="359"/>
      <c r="L332" s="359"/>
      <c r="M332" s="359"/>
      <c r="N332" s="359"/>
      <c r="O332" s="359"/>
      <c r="P332" s="360"/>
      <c r="Q332" s="361"/>
      <c r="R332" s="208" t="str">
        <f ca="1">IF(ISERROR($V332),"",OFFSET('Smelter Look-up'!$C$4,$V332-4,0)&amp;"")</f>
        <v>Kennametal Huntsville</v>
      </c>
      <c r="S332" s="215" t="str">
        <f t="shared" ca="1" si="48"/>
        <v>US</v>
      </c>
      <c r="T332" s="215" t="str">
        <f ca="1">IF(B332="","",IF(ISERROR(MATCH($J332,SorP!$B$1:$B$6230,0)),"",INDIRECT("'SorP'!$A$"&amp;MATCH($J332,SorP!$B$1:$B$6230,0))))</f>
        <v>US-AL</v>
      </c>
      <c r="U332" s="231"/>
      <c r="V332" s="262">
        <f>IF(C332="",NA(),IF(OR(C332="Smelter not listed",C332="Smelter not yet identified"),MATCH($B332&amp;$D332,'Smelter Look-up'!$J:$J,0),MATCH($B332&amp;$C332,'Smelter Look-up'!$J:$J,0)))</f>
        <v>604</v>
      </c>
      <c r="W332" s="263"/>
      <c r="X332" s="263">
        <f t="shared" si="49"/>
        <v>0</v>
      </c>
      <c r="Y332" s="263"/>
      <c r="Z332" s="263"/>
      <c r="AB332" s="265" t="str">
        <f t="shared" si="50"/>
        <v>TungstenKennametal Huntsville</v>
      </c>
    </row>
    <row r="333" spans="1:28" s="264" customFormat="1" ht="102">
      <c r="A333" s="207" t="s">
        <v>795</v>
      </c>
      <c r="B333" s="208" t="s">
        <v>1133</v>
      </c>
      <c r="C333" s="356" t="s">
        <v>1379</v>
      </c>
      <c r="D333" s="270"/>
      <c r="E333" s="208" t="s">
        <v>1100</v>
      </c>
      <c r="F333" s="208" t="s">
        <v>795</v>
      </c>
      <c r="G333" s="208" t="s">
        <v>13320</v>
      </c>
      <c r="H333" s="357">
        <v>0</v>
      </c>
      <c r="I333" s="358" t="s">
        <v>1786</v>
      </c>
      <c r="J333" s="358" t="s">
        <v>13699</v>
      </c>
      <c r="K333" s="359"/>
      <c r="L333" s="359"/>
      <c r="M333" s="359"/>
      <c r="N333" s="359"/>
      <c r="O333" s="359"/>
      <c r="P333" s="360"/>
      <c r="Q333" s="361"/>
      <c r="R333" s="208" t="str">
        <f ca="1">IF(ISERROR($V333),"",OFFSET('Smelter Look-up'!$C$4,$V333-4,0)&amp;"")</f>
        <v>Chongyi Zhangyuan Tungsten Co., Ltd.</v>
      </c>
      <c r="S333" s="215" t="str">
        <f t="shared" ca="1" si="48"/>
        <v>CN</v>
      </c>
      <c r="T333" s="215" t="str">
        <f ca="1">IF(B333="","",IF(ISERROR(MATCH($J333,SorP!$B$1:$B$6230,0)),"",INDIRECT("'SorP'!$A$"&amp;MATCH($J333,SorP!$B$1:$B$6230,0))))</f>
        <v>CN-JX</v>
      </c>
      <c r="U333" s="231"/>
      <c r="V333" s="262">
        <f>IF(C333="",NA(),IF(OR(C333="Smelter not listed",C333="Smelter not yet identified"),MATCH($B333&amp;$D333,'Smelter Look-up'!$J:$J,0),MATCH($B333&amp;$C333,'Smelter Look-up'!$J:$J,0)))</f>
        <v>570</v>
      </c>
      <c r="W333" s="263"/>
      <c r="X333" s="263">
        <f t="shared" si="49"/>
        <v>0</v>
      </c>
      <c r="Y333" s="263"/>
      <c r="Z333" s="263"/>
      <c r="AB333" s="265" t="str">
        <f t="shared" si="50"/>
        <v>TungstenChongyi Zhangyuan Tungsten Co., Ltd.</v>
      </c>
    </row>
    <row r="334" spans="1:28" s="264" customFormat="1" ht="76.5">
      <c r="A334" s="207" t="s">
        <v>796</v>
      </c>
      <c r="B334" s="208" t="s">
        <v>1133</v>
      </c>
      <c r="C334" s="356" t="s">
        <v>1</v>
      </c>
      <c r="D334" s="270"/>
      <c r="E334" s="208" t="s">
        <v>2456</v>
      </c>
      <c r="F334" s="208" t="s">
        <v>796</v>
      </c>
      <c r="G334" s="208" t="s">
        <v>13320</v>
      </c>
      <c r="H334" s="357">
        <v>0</v>
      </c>
      <c r="I334" s="358" t="s">
        <v>1840</v>
      </c>
      <c r="J334" s="358" t="s">
        <v>1748</v>
      </c>
      <c r="K334" s="359"/>
      <c r="L334" s="359"/>
      <c r="M334" s="359"/>
      <c r="N334" s="359"/>
      <c r="O334" s="359"/>
      <c r="P334" s="360"/>
      <c r="Q334" s="361"/>
      <c r="R334" s="208" t="str">
        <f ca="1">IF(ISERROR($V334),"",OFFSET('Smelter Look-up'!$C$4,$V334-4,0)&amp;"")</f>
        <v>Global Tungsten &amp; Powders Corp.</v>
      </c>
      <c r="S334" s="215" t="str">
        <f t="shared" ca="1" si="48"/>
        <v>US</v>
      </c>
      <c r="T334" s="215" t="str">
        <f ca="1">IF(B334="","",IF(ISERROR(MATCH($J334,SorP!$B$1:$B$6230,0)),"",INDIRECT("'SorP'!$A$"&amp;MATCH($J334,SorP!$B$1:$B$6230,0))))</f>
        <v>US-PA</v>
      </c>
      <c r="U334" s="231"/>
      <c r="V334" s="262">
        <f>IF(C334="",NA(),IF(OR(C334="Smelter not listed",C334="Smelter not yet identified"),MATCH($B334&amp;$D334,'Smelter Look-up'!$J:$J,0),MATCH($B334&amp;$C334,'Smelter Look-up'!$J:$J,0)))</f>
        <v>580</v>
      </c>
      <c r="W334" s="263"/>
      <c r="X334" s="263">
        <f t="shared" si="49"/>
        <v>0</v>
      </c>
      <c r="Y334" s="263"/>
      <c r="Z334" s="263"/>
      <c r="AB334" s="265" t="str">
        <f t="shared" si="50"/>
        <v>TungstenGlobal Tungsten &amp; Powders Corp.</v>
      </c>
    </row>
    <row r="335" spans="1:28" s="264" customFormat="1" ht="114.75">
      <c r="A335" s="207" t="s">
        <v>798</v>
      </c>
      <c r="B335" s="208" t="s">
        <v>1133</v>
      </c>
      <c r="C335" s="356" t="s">
        <v>1381</v>
      </c>
      <c r="D335" s="270"/>
      <c r="E335" s="208" t="s">
        <v>1100</v>
      </c>
      <c r="F335" s="208" t="s">
        <v>798</v>
      </c>
      <c r="G335" s="208" t="s">
        <v>13320</v>
      </c>
      <c r="H335" s="357">
        <v>0</v>
      </c>
      <c r="I335" s="358" t="s">
        <v>1751</v>
      </c>
      <c r="J335" s="358" t="s">
        <v>13703</v>
      </c>
      <c r="K335" s="359"/>
      <c r="L335" s="359"/>
      <c r="M335" s="359"/>
      <c r="N335" s="359"/>
      <c r="O335" s="359"/>
      <c r="P335" s="360"/>
      <c r="Q335" s="361"/>
      <c r="R335" s="208" t="str">
        <f ca="1">IF(ISERROR($V335),"",OFFSET('Smelter Look-up'!$C$4,$V335-4,0)&amp;"")</f>
        <v>Hunan Chunchang Nonferrous Metals Co., Ltd.</v>
      </c>
      <c r="S335" s="215" t="str">
        <f t="shared" ca="1" si="48"/>
        <v>CN</v>
      </c>
      <c r="T335" s="215" t="str">
        <f ca="1">IF(B335="","",IF(ISERROR(MATCH($J335,SorP!$B$1:$B$6230,0)),"",INDIRECT("'SorP'!$A$"&amp;MATCH($J335,SorP!$B$1:$B$6230,0))))</f>
        <v>CN-HN</v>
      </c>
      <c r="U335" s="231"/>
      <c r="V335" s="262">
        <f>IF(C335="",NA(),IF(OR(C335="Smelter not listed",C335="Smelter not yet identified"),MATCH($B335&amp;$D335,'Smelter Look-up'!$J:$J,0),MATCH($B335&amp;$C335,'Smelter Look-up'!$J:$J,0)))</f>
        <v>590</v>
      </c>
      <c r="W335" s="263"/>
      <c r="X335" s="263">
        <f t="shared" si="49"/>
        <v>0</v>
      </c>
      <c r="Y335" s="263"/>
      <c r="Z335" s="263"/>
      <c r="AB335" s="265" t="str">
        <f t="shared" si="50"/>
        <v>TungstenHunan Chunchang Nonferrous Metals Co., Ltd.</v>
      </c>
    </row>
    <row r="336" spans="1:28" s="264" customFormat="1" ht="114.75">
      <c r="A336" s="207" t="s">
        <v>800</v>
      </c>
      <c r="B336" s="208" t="s">
        <v>1133</v>
      </c>
      <c r="C336" s="356" t="s">
        <v>149</v>
      </c>
      <c r="D336" s="270"/>
      <c r="E336" s="208" t="s">
        <v>1100</v>
      </c>
      <c r="F336" s="208" t="s">
        <v>800</v>
      </c>
      <c r="G336" s="208" t="s">
        <v>13320</v>
      </c>
      <c r="H336" s="357">
        <v>0</v>
      </c>
      <c r="I336" s="358" t="s">
        <v>1786</v>
      </c>
      <c r="J336" s="358" t="s">
        <v>13699</v>
      </c>
      <c r="K336" s="359"/>
      <c r="L336" s="359"/>
      <c r="M336" s="359"/>
      <c r="N336" s="359"/>
      <c r="O336" s="359"/>
      <c r="P336" s="360"/>
      <c r="Q336" s="361"/>
      <c r="R336" s="208" t="str">
        <f ca="1">IF(ISERROR($V336),"",OFFSET('Smelter Look-up'!$C$4,$V336-4,0)&amp;"")</f>
        <v>Ganzhou Huaxing Tungsten Products Co., Ltd.</v>
      </c>
      <c r="S336" s="215" t="str">
        <f t="shared" ca="1" si="48"/>
        <v>CN</v>
      </c>
      <c r="T336" s="215" t="str">
        <f ca="1">IF(B336="","",IF(ISERROR(MATCH($J336,SorP!$B$1:$B$6230,0)),"",INDIRECT("'SorP'!$A$"&amp;MATCH($J336,SorP!$B$1:$B$6230,0))))</f>
        <v>CN-JX</v>
      </c>
      <c r="U336" s="231"/>
      <c r="V336" s="262">
        <f>IF(C336="",NA(),IF(OR(C336="Smelter not listed",C336="Smelter not yet identified"),MATCH($B336&amp;$D336,'Smelter Look-up'!$J:$J,0),MATCH($B336&amp;$C336,'Smelter Look-up'!$J:$J,0)))</f>
        <v>576</v>
      </c>
      <c r="W336" s="263"/>
      <c r="X336" s="263">
        <f t="shared" si="49"/>
        <v>0</v>
      </c>
      <c r="Y336" s="263"/>
      <c r="Z336" s="263"/>
      <c r="AB336" s="265" t="str">
        <f t="shared" si="50"/>
        <v>TungstenGanzhou Huaxing Tungsten Products Co., Ltd.</v>
      </c>
    </row>
    <row r="337" spans="1:28" s="264" customFormat="1" ht="89.25">
      <c r="A337" s="207" t="s">
        <v>802</v>
      </c>
      <c r="B337" s="208" t="s">
        <v>1133</v>
      </c>
      <c r="C337" s="356" t="s">
        <v>2563</v>
      </c>
      <c r="D337" s="270"/>
      <c r="E337" s="208" t="s">
        <v>1094</v>
      </c>
      <c r="F337" s="208" t="s">
        <v>802</v>
      </c>
      <c r="G337" s="208" t="s">
        <v>13320</v>
      </c>
      <c r="H337" s="357">
        <v>0</v>
      </c>
      <c r="I337" s="358" t="s">
        <v>1843</v>
      </c>
      <c r="J337" s="358" t="s">
        <v>2834</v>
      </c>
      <c r="K337" s="359"/>
      <c r="L337" s="359"/>
      <c r="M337" s="359"/>
      <c r="N337" s="359"/>
      <c r="O337" s="359"/>
      <c r="P337" s="360"/>
      <c r="Q337" s="361"/>
      <c r="R337" s="208" t="str">
        <f ca="1">IF(ISERROR($V337),"",OFFSET('Smelter Look-up'!$C$4,$V337-4,0)&amp;"")</f>
        <v>Wolfram Bergbau und Hutten AG</v>
      </c>
      <c r="S337" s="215" t="str">
        <f t="shared" ca="1" si="48"/>
        <v>AT</v>
      </c>
      <c r="T337" s="215" t="str">
        <f ca="1">IF(B337="","",IF(ISERROR(MATCH($J337,SorP!$B$1:$B$6230,0)),"",INDIRECT("'SorP'!$A$"&amp;MATCH($J337,SorP!$B$1:$B$6230,0))))</f>
        <v>AT-6</v>
      </c>
      <c r="U337" s="231"/>
      <c r="V337" s="262">
        <f>IF(C337="",NA(),IF(OR(C337="Smelter not listed",C337="Smelter not yet identified"),MATCH($B337&amp;$D337,'Smelter Look-up'!$J:$J,0),MATCH($B337&amp;$C337,'Smelter Look-up'!$J:$J,0)))</f>
        <v>622</v>
      </c>
      <c r="W337" s="263"/>
      <c r="X337" s="263">
        <f t="shared" si="49"/>
        <v>0</v>
      </c>
      <c r="Y337" s="263"/>
      <c r="Z337" s="263"/>
      <c r="AB337" s="265" t="str">
        <f t="shared" si="50"/>
        <v>TungstenWolfram Bergbau und Hutten AG</v>
      </c>
    </row>
    <row r="338" spans="1:28" s="264" customFormat="1" ht="63.75">
      <c r="A338" s="207" t="s">
        <v>803</v>
      </c>
      <c r="B338" s="208" t="s">
        <v>1133</v>
      </c>
      <c r="C338" s="356" t="s">
        <v>1383</v>
      </c>
      <c r="D338" s="270"/>
      <c r="E338" s="208" t="s">
        <v>1100</v>
      </c>
      <c r="F338" s="208" t="s">
        <v>803</v>
      </c>
      <c r="G338" s="208" t="s">
        <v>13320</v>
      </c>
      <c r="H338" s="357">
        <v>0</v>
      </c>
      <c r="I338" s="358" t="s">
        <v>1846</v>
      </c>
      <c r="J338" s="358" t="s">
        <v>13698</v>
      </c>
      <c r="K338" s="359"/>
      <c r="L338" s="359"/>
      <c r="M338" s="359"/>
      <c r="N338" s="359"/>
      <c r="O338" s="359"/>
      <c r="P338" s="360"/>
      <c r="Q338" s="361"/>
      <c r="R338" s="208" t="str">
        <f ca="1">IF(ISERROR($V338),"",OFFSET('Smelter Look-up'!$C$4,$V338-4,0)&amp;"")</f>
        <v>Xiamen Tungsten Co., Ltd.</v>
      </c>
      <c r="S338" s="215" t="str">
        <f t="shared" ca="1" si="48"/>
        <v>CN</v>
      </c>
      <c r="T338" s="215" t="str">
        <f ca="1">IF(B338="","",IF(ISERROR(MATCH($J338,SorP!$B$1:$B$6230,0)),"",INDIRECT("'SorP'!$A$"&amp;MATCH($J338,SorP!$B$1:$B$6230,0))))</f>
        <v>CN-FJ</v>
      </c>
      <c r="U338" s="231"/>
      <c r="V338" s="262">
        <f>IF(C338="",NA(),IF(OR(C338="Smelter not listed",C338="Smelter not yet identified"),MATCH($B338&amp;$D338,'Smelter Look-up'!$J:$J,0),MATCH($B338&amp;$C338,'Smelter Look-up'!$J:$J,0)))</f>
        <v>626</v>
      </c>
      <c r="W338" s="263"/>
      <c r="X338" s="263">
        <f t="shared" si="49"/>
        <v>0</v>
      </c>
      <c r="Y338" s="263"/>
      <c r="Z338" s="263"/>
      <c r="AB338" s="265" t="str">
        <f t="shared" si="50"/>
        <v>TungstenXiamen Tungsten Co., Ltd.</v>
      </c>
    </row>
    <row r="339" spans="1:28" s="264" customFormat="1" ht="89.25">
      <c r="A339" s="207" t="s">
        <v>141</v>
      </c>
      <c r="B339" s="208" t="s">
        <v>1133</v>
      </c>
      <c r="C339" s="356" t="s">
        <v>152</v>
      </c>
      <c r="D339" s="270"/>
      <c r="E339" s="208" t="s">
        <v>1100</v>
      </c>
      <c r="F339" s="208" t="s">
        <v>141</v>
      </c>
      <c r="G339" s="208" t="s">
        <v>13320</v>
      </c>
      <c r="H339" s="357">
        <v>0</v>
      </c>
      <c r="I339" s="358" t="s">
        <v>1786</v>
      </c>
      <c r="J339" s="358" t="s">
        <v>13699</v>
      </c>
      <c r="K339" s="359"/>
      <c r="L339" s="359"/>
      <c r="M339" s="359"/>
      <c r="N339" s="359"/>
      <c r="O339" s="359"/>
      <c r="P339" s="360"/>
      <c r="Q339" s="361"/>
      <c r="R339" s="208" t="str">
        <f ca="1">IF(ISERROR($V339),"",OFFSET('Smelter Look-up'!$C$4,$V339-4,0)&amp;"")</f>
        <v>Jiangxi Yaosheng Tungsten Co., Ltd.</v>
      </c>
      <c r="S339" s="215" t="str">
        <f t="shared" ca="1" si="48"/>
        <v>CN</v>
      </c>
      <c r="T339" s="215" t="str">
        <f ca="1">IF(B339="","",IF(ISERROR(MATCH($J339,SorP!$B$1:$B$6230,0)),"",INDIRECT("'SorP'!$A$"&amp;MATCH($J339,SorP!$B$1:$B$6230,0))))</f>
        <v>CN-JX</v>
      </c>
      <c r="U339" s="231"/>
      <c r="V339" s="262">
        <f>IF(C339="",NA(),IF(OR(C339="Smelter not listed",C339="Smelter not yet identified"),MATCH($B339&amp;$D339,'Smelter Look-up'!$J:$J,0),MATCH($B339&amp;$C339,'Smelter Look-up'!$J:$J,0)))</f>
        <v>600</v>
      </c>
      <c r="W339" s="263"/>
      <c r="X339" s="263">
        <f t="shared" si="49"/>
        <v>0</v>
      </c>
      <c r="Y339" s="263"/>
      <c r="Z339" s="263"/>
      <c r="AB339" s="265" t="str">
        <f t="shared" si="50"/>
        <v>TungstenJiangxi Yaosheng Tungsten Co., Ltd.</v>
      </c>
    </row>
    <row r="340" spans="1:28" s="264" customFormat="1" ht="114.75">
      <c r="A340" s="207" t="s">
        <v>142</v>
      </c>
      <c r="B340" s="208" t="s">
        <v>1133</v>
      </c>
      <c r="C340" s="356" t="s">
        <v>153</v>
      </c>
      <c r="D340" s="270"/>
      <c r="E340" s="208" t="s">
        <v>1100</v>
      </c>
      <c r="F340" s="208" t="s">
        <v>142</v>
      </c>
      <c r="G340" s="208" t="s">
        <v>13320</v>
      </c>
      <c r="H340" s="357">
        <v>0</v>
      </c>
      <c r="I340" s="358" t="s">
        <v>1786</v>
      </c>
      <c r="J340" s="358" t="s">
        <v>13699</v>
      </c>
      <c r="K340" s="359"/>
      <c r="L340" s="359"/>
      <c r="M340" s="359"/>
      <c r="N340" s="359"/>
      <c r="O340" s="359"/>
      <c r="P340" s="360"/>
      <c r="Q340" s="361"/>
      <c r="R340" s="208" t="str">
        <f ca="1">IF(ISERROR($V340),"",OFFSET('Smelter Look-up'!$C$4,$V340-4,0)&amp;"")</f>
        <v>Jiangxi Xinsheng Tungsten Industry Co., Ltd.</v>
      </c>
      <c r="S340" s="215" t="str">
        <f t="shared" ca="1" si="48"/>
        <v>CN</v>
      </c>
      <c r="T340" s="215" t="str">
        <f ca="1">IF(B340="","",IF(ISERROR(MATCH($J340,SorP!$B$1:$B$6230,0)),"",INDIRECT("'SorP'!$A$"&amp;MATCH($J340,SorP!$B$1:$B$6230,0))))</f>
        <v>CN-JX</v>
      </c>
      <c r="U340" s="231"/>
      <c r="V340" s="262">
        <f>IF(C340="",NA(),IF(OR(C340="Smelter not listed",C340="Smelter not yet identified"),MATCH($B340&amp;$D340,'Smelter Look-up'!$J:$J,0),MATCH($B340&amp;$C340,'Smelter Look-up'!$J:$J,0)))</f>
        <v>599</v>
      </c>
      <c r="W340" s="263"/>
      <c r="X340" s="263">
        <f t="shared" si="49"/>
        <v>0</v>
      </c>
      <c r="Y340" s="263"/>
      <c r="Z340" s="263"/>
      <c r="AB340" s="265" t="str">
        <f t="shared" si="50"/>
        <v>TungstenJiangxi Xinsheng Tungsten Industry Co., Ltd.</v>
      </c>
    </row>
    <row r="341" spans="1:28" s="264" customFormat="1" ht="127.5">
      <c r="A341" s="207" t="s">
        <v>143</v>
      </c>
      <c r="B341" s="208" t="s">
        <v>1133</v>
      </c>
      <c r="C341" s="356" t="s">
        <v>154</v>
      </c>
      <c r="D341" s="270"/>
      <c r="E341" s="208" t="s">
        <v>1100</v>
      </c>
      <c r="F341" s="208" t="s">
        <v>143</v>
      </c>
      <c r="G341" s="208" t="s">
        <v>13320</v>
      </c>
      <c r="H341" s="357">
        <v>0</v>
      </c>
      <c r="I341" s="358" t="s">
        <v>1848</v>
      </c>
      <c r="J341" s="358" t="s">
        <v>13699</v>
      </c>
      <c r="K341" s="359"/>
      <c r="L341" s="359"/>
      <c r="M341" s="359"/>
      <c r="N341" s="359"/>
      <c r="O341" s="359"/>
      <c r="P341" s="360"/>
      <c r="Q341" s="361"/>
      <c r="R341" s="208" t="str">
        <f ca="1">IF(ISERROR($V341),"",OFFSET('Smelter Look-up'!$C$4,$V341-4,0)&amp;"")</f>
        <v>Jiangxi Tonggu Non-ferrous Metallurgical &amp; Chemical Co., Ltd.</v>
      </c>
      <c r="S341" s="215" t="str">
        <f t="shared" ca="1" si="48"/>
        <v>CN</v>
      </c>
      <c r="T341" s="215" t="str">
        <f ca="1">IF(B341="","",IF(ISERROR(MATCH($J341,SorP!$B$1:$B$6230,0)),"",INDIRECT("'SorP'!$A$"&amp;MATCH($J341,SorP!$B$1:$B$6230,0))))</f>
        <v>CN-JX</v>
      </c>
      <c r="U341" s="231"/>
      <c r="V341" s="262">
        <f>IF(C341="",NA(),IF(OR(C341="Smelter not listed",C341="Smelter not yet identified"),MATCH($B341&amp;$D341,'Smelter Look-up'!$J:$J,0),MATCH($B341&amp;$C341,'Smelter Look-up'!$J:$J,0)))</f>
        <v>596</v>
      </c>
      <c r="W341" s="263"/>
      <c r="X341" s="263">
        <f t="shared" si="49"/>
        <v>0</v>
      </c>
      <c r="Y341" s="263"/>
      <c r="Z341" s="263"/>
      <c r="AB341" s="265" t="str">
        <f t="shared" si="50"/>
        <v>TungstenJiangxi Tonggu Non-ferrous Metallurgical &amp; Chemical Co., Ltd.</v>
      </c>
    </row>
    <row r="342" spans="1:28" s="264" customFormat="1" ht="76.5">
      <c r="A342" s="207" t="s">
        <v>145</v>
      </c>
      <c r="B342" s="208" t="s">
        <v>1133</v>
      </c>
      <c r="C342" s="356" t="s">
        <v>156</v>
      </c>
      <c r="D342" s="270"/>
      <c r="E342" s="208" t="s">
        <v>1100</v>
      </c>
      <c r="F342" s="208" t="s">
        <v>145</v>
      </c>
      <c r="G342" s="208" t="s">
        <v>13320</v>
      </c>
      <c r="H342" s="357">
        <v>0</v>
      </c>
      <c r="I342" s="358" t="s">
        <v>1846</v>
      </c>
      <c r="J342" s="358" t="s">
        <v>13698</v>
      </c>
      <c r="K342" s="359"/>
      <c r="L342" s="359"/>
      <c r="M342" s="359"/>
      <c r="N342" s="359"/>
      <c r="O342" s="359"/>
      <c r="P342" s="360"/>
      <c r="Q342" s="361"/>
      <c r="R342" s="208" t="str">
        <f ca="1">IF(ISERROR($V342),"",OFFSET('Smelter Look-up'!$C$4,$V342-4,0)&amp;"")</f>
        <v>Xiamen Tungsten (H.C.) Co., Ltd.</v>
      </c>
      <c r="S342" s="215" t="str">
        <f t="shared" ca="1" si="48"/>
        <v>CN</v>
      </c>
      <c r="T342" s="215" t="str">
        <f ca="1">IF(B342="","",IF(ISERROR(MATCH($J342,SorP!$B$1:$B$6230,0)),"",INDIRECT("'SorP'!$A$"&amp;MATCH($J342,SorP!$B$1:$B$6230,0))))</f>
        <v>CN-FJ</v>
      </c>
      <c r="U342" s="231"/>
      <c r="V342" s="262">
        <f>IF(C342="",NA(),IF(OR(C342="Smelter not listed",C342="Smelter not yet identified"),MATCH($B342&amp;$D342,'Smelter Look-up'!$J:$J,0),MATCH($B342&amp;$C342,'Smelter Look-up'!$J:$J,0)))</f>
        <v>625</v>
      </c>
      <c r="W342" s="263"/>
      <c r="X342" s="263">
        <f t="shared" si="49"/>
        <v>0</v>
      </c>
      <c r="Y342" s="263"/>
      <c r="Z342" s="263"/>
      <c r="AB342" s="265" t="str">
        <f t="shared" si="50"/>
        <v>TungstenXiamen Tungsten (H.C.) Co., Ltd.</v>
      </c>
    </row>
    <row r="343" spans="1:28" s="264" customFormat="1" ht="76.5">
      <c r="A343" s="207" t="s">
        <v>138</v>
      </c>
      <c r="B343" s="208" t="s">
        <v>1133</v>
      </c>
      <c r="C343" s="356" t="s">
        <v>157</v>
      </c>
      <c r="D343" s="270"/>
      <c r="E343" s="208" t="s">
        <v>1100</v>
      </c>
      <c r="F343" s="208" t="s">
        <v>138</v>
      </c>
      <c r="G343" s="208" t="s">
        <v>13320</v>
      </c>
      <c r="H343" s="357">
        <v>0</v>
      </c>
      <c r="I343" s="358" t="s">
        <v>1851</v>
      </c>
      <c r="J343" s="358" t="s">
        <v>13699</v>
      </c>
      <c r="K343" s="359"/>
      <c r="L343" s="359"/>
      <c r="M343" s="359"/>
      <c r="N343" s="359"/>
      <c r="O343" s="359"/>
      <c r="P343" s="360"/>
      <c r="Q343" s="361"/>
      <c r="R343" s="208" t="str">
        <f ca="1">IF(ISERROR($V343),"",OFFSET('Smelter Look-up'!$C$4,$V343-4,0)&amp;"")</f>
        <v>Jiangxi Gan Bei Tungsten Co., Ltd.</v>
      </c>
      <c r="S343" s="215" t="str">
        <f t="shared" ca="1" si="48"/>
        <v>CN</v>
      </c>
      <c r="T343" s="215" t="str">
        <f ca="1">IF(B343="","",IF(ISERROR(MATCH($J343,SorP!$B$1:$B$6230,0)),"",INDIRECT("'SorP'!$A$"&amp;MATCH($J343,SorP!$B$1:$B$6230,0))))</f>
        <v>CN-JX</v>
      </c>
      <c r="U343" s="231"/>
      <c r="V343" s="262">
        <f>IF(C343="",NA(),IF(OR(C343="Smelter not listed",C343="Smelter not yet identified"),MATCH($B343&amp;$D343,'Smelter Look-up'!$J:$J,0),MATCH($B343&amp;$C343,'Smelter Look-up'!$J:$J,0)))</f>
        <v>594</v>
      </c>
      <c r="W343" s="263"/>
      <c r="X343" s="263">
        <f t="shared" si="49"/>
        <v>0</v>
      </c>
      <c r="Y343" s="263"/>
      <c r="Z343" s="263"/>
      <c r="AB343" s="265" t="str">
        <f t="shared" si="50"/>
        <v>TungstenJiangxi Gan Bei Tungsten Co., Ltd.</v>
      </c>
    </row>
    <row r="344" spans="1:28" s="264" customFormat="1" ht="89.25">
      <c r="A344" s="207" t="s">
        <v>393</v>
      </c>
      <c r="B344" s="208" t="s">
        <v>1133</v>
      </c>
      <c r="C344" s="356" t="s">
        <v>392</v>
      </c>
      <c r="D344" s="270"/>
      <c r="E344" s="208" t="s">
        <v>1100</v>
      </c>
      <c r="F344" s="208" t="s">
        <v>393</v>
      </c>
      <c r="G344" s="208" t="s">
        <v>13320</v>
      </c>
      <c r="H344" s="357">
        <v>0</v>
      </c>
      <c r="I344" s="358" t="s">
        <v>1786</v>
      </c>
      <c r="J344" s="358" t="s">
        <v>13699</v>
      </c>
      <c r="K344" s="359"/>
      <c r="L344" s="359"/>
      <c r="M344" s="359"/>
      <c r="N344" s="359"/>
      <c r="O344" s="359"/>
      <c r="P344" s="360"/>
      <c r="Q344" s="361"/>
      <c r="R344" s="208" t="str">
        <f ca="1">IF(ISERROR($V344),"",OFFSET('Smelter Look-up'!$C$4,$V344-4,0)&amp;"")</f>
        <v>Ganzhou Seadragon W &amp; Mo Co., Ltd.</v>
      </c>
      <c r="S344" s="215" t="str">
        <f t="shared" ca="1" si="48"/>
        <v>CN</v>
      </c>
      <c r="T344" s="215" t="str">
        <f ca="1">IF(B344="","",IF(ISERROR(MATCH($J344,SorP!$B$1:$B$6230,0)),"",INDIRECT("'SorP'!$A$"&amp;MATCH($J344,SorP!$B$1:$B$6230,0))))</f>
        <v>CN-JX</v>
      </c>
      <c r="U344" s="231"/>
      <c r="V344" s="262">
        <f>IF(C344="",NA(),IF(OR(C344="Smelter not listed",C344="Smelter not yet identified"),MATCH($B344&amp;$D344,'Smelter Look-up'!$J:$J,0),MATCH($B344&amp;$C344,'Smelter Look-up'!$J:$J,0)))</f>
        <v>578</v>
      </c>
      <c r="W344" s="263"/>
      <c r="X344" s="263">
        <f t="shared" si="49"/>
        <v>0</v>
      </c>
      <c r="Y344" s="263"/>
      <c r="Z344" s="263"/>
      <c r="AB344" s="265" t="str">
        <f t="shared" si="50"/>
        <v>TungstenGanzhou Seadragon W &amp; Mo Co., Ltd.</v>
      </c>
    </row>
    <row r="345" spans="1:28" s="264" customFormat="1" ht="63.75">
      <c r="A345" s="207" t="s">
        <v>1428</v>
      </c>
      <c r="B345" s="208" t="s">
        <v>1133</v>
      </c>
      <c r="C345" s="356" t="s">
        <v>2560</v>
      </c>
      <c r="D345" s="270"/>
      <c r="E345" s="208" t="s">
        <v>1101</v>
      </c>
      <c r="F345" s="208" t="s">
        <v>1428</v>
      </c>
      <c r="G345" s="208" t="s">
        <v>13320</v>
      </c>
      <c r="H345" s="357">
        <v>0</v>
      </c>
      <c r="I345" s="358" t="s">
        <v>1760</v>
      </c>
      <c r="J345" s="358" t="s">
        <v>4270</v>
      </c>
      <c r="K345" s="359"/>
      <c r="L345" s="359"/>
      <c r="M345" s="359"/>
      <c r="N345" s="359"/>
      <c r="O345" s="359"/>
      <c r="P345" s="360"/>
      <c r="Q345" s="361"/>
      <c r="R345" s="208" t="str">
        <f ca="1">IF(ISERROR($V345),"",OFFSET('Smelter Look-up'!$C$4,$V345-4,0)&amp;"")</f>
        <v>H.C. Starck Tungsten GmbH</v>
      </c>
      <c r="S345" s="215" t="str">
        <f t="shared" ca="1" si="48"/>
        <v>DE</v>
      </c>
      <c r="T345" s="215" t="str">
        <f ca="1">IF(B345="","",IF(ISERROR(MATCH($J345,SorP!$B$1:$B$6230,0)),"",INDIRECT("'SorP'!$A$"&amp;MATCH($J345,SorP!$B$1:$B$6230,0))))</f>
        <v>DE-NI</v>
      </c>
      <c r="U345" s="231"/>
      <c r="V345" s="262">
        <f>IF(C345="",NA(),IF(OR(C345="Smelter not listed",C345="Smelter not yet identified"),MATCH($B345&amp;$D345,'Smelter Look-up'!$J:$J,0),MATCH($B345&amp;$C345,'Smelter Look-up'!$J:$J,0)))</f>
        <v>584</v>
      </c>
      <c r="W345" s="263"/>
      <c r="X345" s="263">
        <f t="shared" si="49"/>
        <v>0</v>
      </c>
      <c r="Y345" s="263"/>
      <c r="Z345" s="263"/>
      <c r="AB345" s="265" t="str">
        <f t="shared" si="50"/>
        <v>TungstenH.C. Starck Tungsten GmbH</v>
      </c>
    </row>
    <row r="346" spans="1:28" s="264" customFormat="1" ht="89.25">
      <c r="A346" s="207" t="s">
        <v>1432</v>
      </c>
      <c r="B346" s="208" t="s">
        <v>1133</v>
      </c>
      <c r="C346" s="356" t="s">
        <v>13907</v>
      </c>
      <c r="D346" s="270"/>
      <c r="E346" s="208" t="s">
        <v>892</v>
      </c>
      <c r="F346" s="208" t="s">
        <v>1432</v>
      </c>
      <c r="G346" s="208" t="s">
        <v>13320</v>
      </c>
      <c r="H346" s="357">
        <v>0</v>
      </c>
      <c r="I346" s="358" t="s">
        <v>1853</v>
      </c>
      <c r="J346" s="358" t="s">
        <v>12213</v>
      </c>
      <c r="K346" s="359"/>
      <c r="L346" s="359"/>
      <c r="M346" s="359"/>
      <c r="N346" s="359"/>
      <c r="O346" s="359"/>
      <c r="P346" s="360"/>
      <c r="Q346" s="361"/>
      <c r="R346" s="208" t="str">
        <f ca="1">IF(ISERROR($V346),"",OFFSET('Smelter Look-up'!$C$4,$V346-4,0)&amp;"")</f>
        <v>Masan High-Tech Materials</v>
      </c>
      <c r="S346" s="215" t="str">
        <f t="shared" ca="1" si="48"/>
        <v>VN</v>
      </c>
      <c r="T346" s="215" t="str">
        <f ca="1">IF(B346="","",IF(ISERROR(MATCH($J346,SorP!$B$1:$B$6230,0)),"",INDIRECT("'SorP'!$A$"&amp;MATCH($J346,SorP!$B$1:$B$6230,0))))</f>
        <v>VN-69</v>
      </c>
      <c r="U346" s="231"/>
      <c r="V346" s="262">
        <f>IF(C346="",NA(),IF(OR(C346="Smelter not listed",C346="Smelter not yet identified"),MATCH($B346&amp;$D346,'Smelter Look-up'!$J:$J,0),MATCH($B346&amp;$C346,'Smelter Look-up'!$J:$J,0)))</f>
        <v>610</v>
      </c>
      <c r="W346" s="263"/>
      <c r="X346" s="263">
        <f t="shared" si="49"/>
        <v>0</v>
      </c>
      <c r="Y346" s="263"/>
      <c r="Z346" s="263"/>
      <c r="AB346" s="265" t="str">
        <f t="shared" si="50"/>
        <v>TungstenMasan Tungsten Chemical LLC (MTC)</v>
      </c>
    </row>
    <row r="347" spans="1:28" s="264" customFormat="1" ht="114.75">
      <c r="A347" s="207" t="s">
        <v>1431</v>
      </c>
      <c r="B347" s="208" t="s">
        <v>1133</v>
      </c>
      <c r="C347" s="356" t="s">
        <v>1430</v>
      </c>
      <c r="D347" s="270"/>
      <c r="E347" s="208" t="s">
        <v>1100</v>
      </c>
      <c r="F347" s="208" t="s">
        <v>1431</v>
      </c>
      <c r="G347" s="208" t="s">
        <v>13320</v>
      </c>
      <c r="H347" s="357">
        <v>0</v>
      </c>
      <c r="I347" s="358" t="s">
        <v>1786</v>
      </c>
      <c r="J347" s="358" t="s">
        <v>13699</v>
      </c>
      <c r="K347" s="359"/>
      <c r="L347" s="359"/>
      <c r="M347" s="359"/>
      <c r="N347" s="359"/>
      <c r="O347" s="359"/>
      <c r="P347" s="360"/>
      <c r="Q347" s="361"/>
      <c r="R347" s="208" t="str">
        <f ca="1">IF(ISERROR($V347),"",OFFSET('Smelter Look-up'!$C$4,$V347-4,0)&amp;"")</f>
        <v>Jiangwu H.C. Starck Tungsten Products Co., Ltd.</v>
      </c>
      <c r="S347" s="215" t="str">
        <f t="shared" ca="1" si="48"/>
        <v>CN</v>
      </c>
      <c r="T347" s="215" t="str">
        <f ca="1">IF(B347="","",IF(ISERROR(MATCH($J347,SorP!$B$1:$B$6230,0)),"",INDIRECT("'SorP'!$A$"&amp;MATCH($J347,SorP!$B$1:$B$6230,0))))</f>
        <v>CN-JX</v>
      </c>
      <c r="U347" s="231"/>
      <c r="V347" s="262">
        <f>IF(C347="",NA(),IF(OR(C347="Smelter not listed",C347="Smelter not yet identified"),MATCH($B347&amp;$D347,'Smelter Look-up'!$J:$J,0),MATCH($B347&amp;$C347,'Smelter Look-up'!$J:$J,0)))</f>
        <v>593</v>
      </c>
      <c r="W347" s="263"/>
      <c r="X347" s="263">
        <f t="shared" si="49"/>
        <v>0</v>
      </c>
      <c r="Y347" s="263"/>
      <c r="Z347" s="263"/>
      <c r="AB347" s="265" t="str">
        <f t="shared" si="50"/>
        <v>TungstenJiangwu H.C. Starck Tungsten Products Co., Ltd.</v>
      </c>
    </row>
    <row r="348" spans="1:28" s="264" customFormat="1" ht="63.75">
      <c r="A348" s="207" t="s">
        <v>1855</v>
      </c>
      <c r="B348" s="208" t="s">
        <v>1133</v>
      </c>
      <c r="C348" s="356" t="s">
        <v>1854</v>
      </c>
      <c r="D348" s="270"/>
      <c r="E348" s="208" t="s">
        <v>2456</v>
      </c>
      <c r="F348" s="208" t="s">
        <v>1855</v>
      </c>
      <c r="G348" s="208" t="s">
        <v>13320</v>
      </c>
      <c r="H348" s="357">
        <v>0</v>
      </c>
      <c r="I348" s="358" t="s">
        <v>1856</v>
      </c>
      <c r="J348" s="358" t="s">
        <v>1624</v>
      </c>
      <c r="K348" s="359"/>
      <c r="L348" s="359"/>
      <c r="M348" s="359"/>
      <c r="N348" s="359"/>
      <c r="O348" s="359"/>
      <c r="P348" s="360"/>
      <c r="Q348" s="361"/>
      <c r="R348" s="208" t="str">
        <f ca="1">IF(ISERROR($V348),"",OFFSET('Smelter Look-up'!$C$4,$V348-4,0)&amp;"")</f>
        <v>Niagara Refining LLC</v>
      </c>
      <c r="S348" s="215" t="str">
        <f t="shared" ca="1" si="48"/>
        <v>US</v>
      </c>
      <c r="T348" s="215" t="str">
        <f ca="1">IF(B348="","",IF(ISERROR(MATCH($J348,SorP!$B$1:$B$6230,0)),"",INDIRECT("'SorP'!$A$"&amp;MATCH($J348,SorP!$B$1:$B$6230,0))))</f>
        <v>US-NY</v>
      </c>
      <c r="U348" s="231"/>
      <c r="V348" s="262">
        <f>IF(C348="",NA(),IF(OR(C348="Smelter not listed",C348="Smelter not yet identified"),MATCH($B348&amp;$D348,'Smelter Look-up'!$J:$J,0),MATCH($B348&amp;$C348,'Smelter Look-up'!$J:$J,0)))</f>
        <v>612</v>
      </c>
      <c r="W348" s="263"/>
      <c r="X348" s="263">
        <f t="shared" si="49"/>
        <v>0</v>
      </c>
      <c r="Y348" s="263"/>
      <c r="Z348" s="263"/>
      <c r="AB348" s="265" t="str">
        <f t="shared" si="50"/>
        <v>TungstenNiagara Refining LLC</v>
      </c>
    </row>
    <row r="349" spans="1:28" s="264" customFormat="1" ht="51">
      <c r="A349" s="207" t="s">
        <v>1858</v>
      </c>
      <c r="B349" s="208" t="s">
        <v>1133</v>
      </c>
      <c r="C349" s="356" t="s">
        <v>1857</v>
      </c>
      <c r="D349" s="270"/>
      <c r="E349" s="208" t="s">
        <v>883</v>
      </c>
      <c r="F349" s="208" t="s">
        <v>1858</v>
      </c>
      <c r="G349" s="208" t="s">
        <v>13320</v>
      </c>
      <c r="H349" s="357">
        <v>0</v>
      </c>
      <c r="I349" s="358" t="s">
        <v>1859</v>
      </c>
      <c r="J349" s="358" t="s">
        <v>10105</v>
      </c>
      <c r="K349" s="359"/>
      <c r="L349" s="359"/>
      <c r="M349" s="359"/>
      <c r="N349" s="359"/>
      <c r="O349" s="359"/>
      <c r="P349" s="360"/>
      <c r="Q349" s="361"/>
      <c r="R349" s="208" t="str">
        <f ca="1">IF(ISERROR($V349),"",OFFSET('Smelter Look-up'!$C$4,$V349-4,0)&amp;"")</f>
        <v>Hydrometallurg, JSC</v>
      </c>
      <c r="S349" s="215" t="str">
        <f t="shared" ca="1" si="48"/>
        <v>RU</v>
      </c>
      <c r="T349" s="215" t="str">
        <f ca="1">IF(B349="","",IF(ISERROR(MATCH($J349,SorP!$B$1:$B$6230,0)),"",INDIRECT("'SorP'!$A$"&amp;MATCH($J349,SorP!$B$1:$B$6230,0))))</f>
        <v>RU-KB</v>
      </c>
      <c r="U349" s="231"/>
      <c r="V349" s="262">
        <f>IF(C349="",NA(),IF(OR(C349="Smelter not listed",C349="Smelter not yet identified"),MATCH($B349&amp;$D349,'Smelter Look-up'!$J:$J,0),MATCH($B349&amp;$C349,'Smelter Look-up'!$J:$J,0)))</f>
        <v>591</v>
      </c>
      <c r="W349" s="263"/>
      <c r="X349" s="263">
        <f t="shared" si="49"/>
        <v>0</v>
      </c>
      <c r="Y349" s="263"/>
      <c r="Z349" s="263"/>
      <c r="AB349" s="265" t="str">
        <f t="shared" si="50"/>
        <v>TungstenHydrometallurg, JSC</v>
      </c>
    </row>
    <row r="350" spans="1:28" s="264" customFormat="1" ht="114.75">
      <c r="A350" s="207" t="s">
        <v>747</v>
      </c>
      <c r="B350" s="208" t="s">
        <v>1132</v>
      </c>
      <c r="C350" s="356" t="s">
        <v>2</v>
      </c>
      <c r="D350" s="270"/>
      <c r="E350" s="208" t="s">
        <v>1100</v>
      </c>
      <c r="F350" s="208" t="s">
        <v>747</v>
      </c>
      <c r="G350" s="208" t="s">
        <v>13320</v>
      </c>
      <c r="H350" s="357">
        <v>0</v>
      </c>
      <c r="I350" s="358" t="s">
        <v>1597</v>
      </c>
      <c r="J350" s="358" t="s">
        <v>13703</v>
      </c>
      <c r="K350" s="359"/>
      <c r="L350" s="359"/>
      <c r="M350" s="359"/>
      <c r="N350" s="359"/>
      <c r="O350" s="359"/>
      <c r="P350" s="360"/>
      <c r="Q350" s="361"/>
      <c r="R350" s="208" t="str">
        <f ca="1">IF(ISERROR($V350),"",OFFSET('Smelter Look-up'!$C$4,$V350-4,0)&amp;"")</f>
        <v>Changsha South Tantalum Niobium Co., Ltd.</v>
      </c>
      <c r="S350" s="215" t="str">
        <f t="shared" ca="1" si="48"/>
        <v>CN</v>
      </c>
      <c r="T350" s="215" t="str">
        <f ca="1">IF(B350="","",IF(ISERROR(MATCH($J350,SorP!$B$1:$B$6230,0)),"",INDIRECT("'SorP'!$A$"&amp;MATCH($J350,SorP!$B$1:$B$6230,0))))</f>
        <v>CN-HN</v>
      </c>
      <c r="U350" s="231"/>
      <c r="V350" s="262">
        <f>IF(C350="",NA(),IF(OR(C350="Smelter not listed",C350="Smelter not yet identified"),MATCH($B350&amp;$D350,'Smelter Look-up'!$J:$J,0),MATCH($B350&amp;$C350,'Smelter Look-up'!$J:$J,0)))</f>
        <v>325</v>
      </c>
      <c r="W350" s="263"/>
      <c r="X350" s="263">
        <f t="shared" si="49"/>
        <v>0</v>
      </c>
      <c r="Y350" s="263"/>
      <c r="Z350" s="263"/>
      <c r="AB350" s="265" t="str">
        <f t="shared" si="50"/>
        <v>TantalumChangsha South Tantalum Niobium Co., Ltd.</v>
      </c>
    </row>
    <row r="351" spans="1:28" s="264" customFormat="1" ht="63.75">
      <c r="A351" s="207" t="s">
        <v>749</v>
      </c>
      <c r="B351" s="208" t="s">
        <v>1132</v>
      </c>
      <c r="C351" s="356" t="s">
        <v>45</v>
      </c>
      <c r="D351" s="270"/>
      <c r="E351" s="208" t="s">
        <v>1100</v>
      </c>
      <c r="F351" s="208" t="s">
        <v>749</v>
      </c>
      <c r="G351" s="208" t="s">
        <v>13320</v>
      </c>
      <c r="H351" s="357">
        <v>0</v>
      </c>
      <c r="I351" s="358" t="s">
        <v>1727</v>
      </c>
      <c r="J351" s="358" t="s">
        <v>13704</v>
      </c>
      <c r="K351" s="359"/>
      <c r="L351" s="359"/>
      <c r="M351" s="359"/>
      <c r="N351" s="359"/>
      <c r="O351" s="359"/>
      <c r="P351" s="360"/>
      <c r="Q351" s="361"/>
      <c r="R351" s="208" t="str">
        <f ca="1">IF(ISERROR($V351),"",OFFSET('Smelter Look-up'!$C$4,$V351-4,0)&amp;"")</f>
        <v>F&amp;X Electro-Materials Ltd.</v>
      </c>
      <c r="S351" s="215" t="str">
        <f t="shared" ca="1" si="48"/>
        <v>CN</v>
      </c>
      <c r="T351" s="215" t="str">
        <f ca="1">IF(B351="","",IF(ISERROR(MATCH($J351,SorP!$B$1:$B$6230,0)),"",INDIRECT("'SorP'!$A$"&amp;MATCH($J351,SorP!$B$1:$B$6230,0))))</f>
        <v>CN-GD</v>
      </c>
      <c r="U351" s="231"/>
      <c r="V351" s="262">
        <f>IF(C351="",NA(),IF(OR(C351="Smelter not listed",C351="Smelter not yet identified"),MATCH($B351&amp;$D351,'Smelter Look-up'!$J:$J,0),MATCH($B351&amp;$C351,'Smelter Look-up'!$J:$J,0)))</f>
        <v>330</v>
      </c>
      <c r="W351" s="263"/>
      <c r="X351" s="263">
        <f t="shared" si="49"/>
        <v>0</v>
      </c>
      <c r="Y351" s="263"/>
      <c r="Z351" s="263"/>
      <c r="AB351" s="265" t="str">
        <f t="shared" si="50"/>
        <v>TantalumF&amp;X Electro-Materials Ltd.</v>
      </c>
    </row>
    <row r="352" spans="1:28" s="264" customFormat="1" ht="102">
      <c r="A352" s="207" t="s">
        <v>751</v>
      </c>
      <c r="B352" s="208" t="s">
        <v>1132</v>
      </c>
      <c r="C352" s="356" t="s">
        <v>750</v>
      </c>
      <c r="D352" s="270"/>
      <c r="E352" s="208" t="s">
        <v>1100</v>
      </c>
      <c r="F352" s="208" t="s">
        <v>751</v>
      </c>
      <c r="G352" s="208" t="s">
        <v>13320</v>
      </c>
      <c r="H352" s="357">
        <v>0</v>
      </c>
      <c r="I352" s="358" t="s">
        <v>1729</v>
      </c>
      <c r="J352" s="358" t="s">
        <v>13704</v>
      </c>
      <c r="K352" s="359"/>
      <c r="L352" s="359"/>
      <c r="M352" s="359"/>
      <c r="N352" s="359"/>
      <c r="O352" s="359"/>
      <c r="P352" s="360"/>
      <c r="Q352" s="361"/>
      <c r="R352" s="208" t="str">
        <f ca="1">IF(ISERROR($V352),"",OFFSET('Smelter Look-up'!$C$4,$V352-4,0)&amp;"")</f>
        <v>XIMEI RESOURCES (GUANGDONG) LIMITED</v>
      </c>
      <c r="S352" s="215" t="str">
        <f t="shared" ca="1" si="48"/>
        <v>CN</v>
      </c>
      <c r="T352" s="215" t="str">
        <f ca="1">IF(B352="","",IF(ISERROR(MATCH($J352,SorP!$B$1:$B$6230,0)),"",INDIRECT("'SorP'!$A$"&amp;MATCH($J352,SorP!$B$1:$B$6230,0))))</f>
        <v>CN-GD</v>
      </c>
      <c r="U352" s="231"/>
      <c r="V352" s="262">
        <f>IF(C352="",NA(),IF(OR(C352="Smelter not listed",C352="Smelter not yet identified"),MATCH($B352&amp;$D352,'Smelter Look-up'!$J:$J,0),MATCH($B352&amp;$C352,'Smelter Look-up'!$J:$J,0)))</f>
        <v>334</v>
      </c>
      <c r="W352" s="263"/>
      <c r="X352" s="263">
        <f t="shared" si="49"/>
        <v>0</v>
      </c>
      <c r="Y352" s="263"/>
      <c r="Z352" s="263"/>
      <c r="AB352" s="265" t="str">
        <f t="shared" si="50"/>
        <v>TantalumGuangdong Zhiyuan New Material Co., Ltd.</v>
      </c>
    </row>
    <row r="353" spans="1:28" s="264" customFormat="1" ht="102">
      <c r="A353" s="207" t="s">
        <v>752</v>
      </c>
      <c r="B353" s="208" t="s">
        <v>1132</v>
      </c>
      <c r="C353" s="356" t="s">
        <v>4</v>
      </c>
      <c r="D353" s="270"/>
      <c r="E353" s="208" t="s">
        <v>1100</v>
      </c>
      <c r="F353" s="208" t="s">
        <v>752</v>
      </c>
      <c r="G353" s="208" t="s">
        <v>13320</v>
      </c>
      <c r="H353" s="357">
        <v>0</v>
      </c>
      <c r="I353" s="358" t="s">
        <v>1730</v>
      </c>
      <c r="J353" s="358" t="s">
        <v>13699</v>
      </c>
      <c r="K353" s="359"/>
      <c r="L353" s="359"/>
      <c r="M353" s="359"/>
      <c r="N353" s="359"/>
      <c r="O353" s="359"/>
      <c r="P353" s="360"/>
      <c r="Q353" s="361"/>
      <c r="R353" s="208" t="str">
        <f ca="1">IF(ISERROR($V353),"",OFFSET('Smelter Look-up'!$C$4,$V353-4,0)&amp;"")</f>
        <v>JiuJiang JinXin Nonferrous Metals Co., Ltd.</v>
      </c>
      <c r="S353" s="215" t="str">
        <f t="shared" ca="1" si="48"/>
        <v>CN</v>
      </c>
      <c r="T353" s="215" t="str">
        <f ca="1">IF(B353="","",IF(ISERROR(MATCH($J353,SorP!$B$1:$B$6230,0)),"",INDIRECT("'SorP'!$A$"&amp;MATCH($J353,SorP!$B$1:$B$6230,0))))</f>
        <v>CN-JX</v>
      </c>
      <c r="U353" s="231"/>
      <c r="V353" s="262">
        <f>IF(C353="",NA(),IF(OR(C353="Smelter not listed",C353="Smelter not yet identified"),MATCH($B353&amp;$D353,'Smelter Look-up'!$J:$J,0),MATCH($B353&amp;$C353,'Smelter Look-up'!$J:$J,0)))</f>
        <v>344</v>
      </c>
      <c r="W353" s="263"/>
      <c r="X353" s="263">
        <f t="shared" si="49"/>
        <v>0</v>
      </c>
      <c r="Y353" s="263"/>
      <c r="Z353" s="263"/>
      <c r="AB353" s="265" t="str">
        <f t="shared" si="50"/>
        <v>TantalumJiuJiang JinXin Nonferrous Metals Co., Ltd.</v>
      </c>
    </row>
    <row r="354" spans="1:28" s="264" customFormat="1" ht="76.5">
      <c r="A354" s="207" t="s">
        <v>753</v>
      </c>
      <c r="B354" s="208" t="s">
        <v>1132</v>
      </c>
      <c r="C354" s="356" t="s">
        <v>46</v>
      </c>
      <c r="D354" s="270"/>
      <c r="E354" s="208" t="s">
        <v>1100</v>
      </c>
      <c r="F354" s="208" t="s">
        <v>753</v>
      </c>
      <c r="G354" s="208" t="s">
        <v>13320</v>
      </c>
      <c r="H354" s="357">
        <v>0</v>
      </c>
      <c r="I354" s="358" t="s">
        <v>1730</v>
      </c>
      <c r="J354" s="358" t="s">
        <v>13699</v>
      </c>
      <c r="K354" s="359"/>
      <c r="L354" s="359"/>
      <c r="M354" s="359"/>
      <c r="N354" s="359"/>
      <c r="O354" s="359"/>
      <c r="P354" s="360"/>
      <c r="Q354" s="361"/>
      <c r="R354" s="208" t="str">
        <f ca="1">IF(ISERROR($V354),"",OFFSET('Smelter Look-up'!$C$4,$V354-4,0)&amp;"")</f>
        <v>Jiujiang Tanbre Co., Ltd.</v>
      </c>
      <c r="S354" s="215" t="str">
        <f t="shared" ca="1" si="48"/>
        <v>CN</v>
      </c>
      <c r="T354" s="215" t="str">
        <f ca="1">IF(B354="","",IF(ISERROR(MATCH($J354,SorP!$B$1:$B$6230,0)),"",INDIRECT("'SorP'!$A$"&amp;MATCH($J354,SorP!$B$1:$B$6230,0))))</f>
        <v>CN-JX</v>
      </c>
      <c r="U354" s="231"/>
      <c r="V354" s="262">
        <f>IF(C354="",NA(),IF(OR(C354="Smelter not listed",C354="Smelter not yet identified"),MATCH($B354&amp;$D354,'Smelter Look-up'!$J:$J,0),MATCH($B354&amp;$C354,'Smelter Look-up'!$J:$J,0)))</f>
        <v>346</v>
      </c>
      <c r="W354" s="263"/>
      <c r="X354" s="263">
        <f t="shared" si="49"/>
        <v>0</v>
      </c>
      <c r="Y354" s="263"/>
      <c r="Z354" s="263"/>
      <c r="AB354" s="265" t="str">
        <f t="shared" si="50"/>
        <v>TantalumJiujiang Tanbre Co., Ltd.</v>
      </c>
    </row>
    <row r="355" spans="1:28" s="264" customFormat="1" ht="89.25">
      <c r="A355" s="207" t="s">
        <v>755</v>
      </c>
      <c r="B355" s="208" t="s">
        <v>1132</v>
      </c>
      <c r="C355" s="356" t="s">
        <v>2166</v>
      </c>
      <c r="D355" s="270"/>
      <c r="E355" s="208" t="s">
        <v>1106</v>
      </c>
      <c r="F355" s="208" t="s">
        <v>755</v>
      </c>
      <c r="G355" s="208" t="s">
        <v>13320</v>
      </c>
      <c r="H355" s="357">
        <v>0</v>
      </c>
      <c r="I355" s="358" t="s">
        <v>1732</v>
      </c>
      <c r="J355" s="358" t="s">
        <v>1733</v>
      </c>
      <c r="K355" s="359"/>
      <c r="L355" s="359"/>
      <c r="M355" s="359"/>
      <c r="N355" s="359"/>
      <c r="O355" s="359"/>
      <c r="P355" s="360"/>
      <c r="Q355" s="361"/>
      <c r="R355" s="208" t="str">
        <f ca="1">IF(ISERROR($V355),"",OFFSET('Smelter Look-up'!$C$4,$V355-4,0)&amp;"")</f>
        <v>Metallurgical Products India Pvt., Ltd.</v>
      </c>
      <c r="S355" s="215" t="str">
        <f t="shared" ca="1" si="48"/>
        <v>IN</v>
      </c>
      <c r="T355" s="215" t="str">
        <f ca="1">IF(B355="","",IF(ISERROR(MATCH($J355,SorP!$B$1:$B$6230,0)),"",INDIRECT("'SorP'!$A$"&amp;MATCH($J355,SorP!$B$1:$B$6230,0))))</f>
        <v>IN-MH</v>
      </c>
      <c r="U355" s="231"/>
      <c r="V355" s="262">
        <f>IF(C355="",NA(),IF(OR(C355="Smelter not listed",C355="Smelter not yet identified"),MATCH($B355&amp;$D355,'Smelter Look-up'!$J:$J,0),MATCH($B355&amp;$C355,'Smelter Look-up'!$J:$J,0)))</f>
        <v>352</v>
      </c>
      <c r="W355" s="263"/>
      <c r="X355" s="263">
        <f t="shared" si="49"/>
        <v>0</v>
      </c>
      <c r="Y355" s="263"/>
      <c r="Z355" s="263"/>
      <c r="AB355" s="265" t="str">
        <f t="shared" si="50"/>
        <v>TantalumMetallurgical Products India Pvt., Ltd.</v>
      </c>
    </row>
    <row r="356" spans="1:28" s="264" customFormat="1" ht="102">
      <c r="A356" s="207" t="s">
        <v>759</v>
      </c>
      <c r="B356" s="208" t="s">
        <v>1132</v>
      </c>
      <c r="C356" s="356" t="s">
        <v>1030</v>
      </c>
      <c r="D356" s="270"/>
      <c r="E356" s="208" t="s">
        <v>1100</v>
      </c>
      <c r="F356" s="208" t="s">
        <v>759</v>
      </c>
      <c r="G356" s="208" t="s">
        <v>13320</v>
      </c>
      <c r="H356" s="357">
        <v>0</v>
      </c>
      <c r="I356" s="358" t="s">
        <v>1741</v>
      </c>
      <c r="J356" s="358" t="s">
        <v>13685</v>
      </c>
      <c r="K356" s="359"/>
      <c r="L356" s="359"/>
      <c r="M356" s="359"/>
      <c r="N356" s="359"/>
      <c r="O356" s="359"/>
      <c r="P356" s="360"/>
      <c r="Q356" s="361"/>
      <c r="R356" s="208" t="str">
        <f ca="1">IF(ISERROR($V356),"",OFFSET('Smelter Look-up'!$C$4,$V356-4,0)&amp;"")</f>
        <v>Ningxia Orient Tantalum Industry Co., Ltd.</v>
      </c>
      <c r="S356" s="215" t="str">
        <f t="shared" ca="1" si="48"/>
        <v>CN</v>
      </c>
      <c r="T356" s="215" t="str">
        <f ca="1">IF(B356="","",IF(ISERROR(MATCH($J356,SorP!$B$1:$B$6230,0)),"",INDIRECT("'SorP'!$A$"&amp;MATCH($J356,SorP!$B$1:$B$6230,0))))</f>
        <v>CN-NX</v>
      </c>
      <c r="U356" s="231"/>
      <c r="V356" s="262">
        <f>IF(C356="",NA(),IF(OR(C356="Smelter not listed",C356="Smelter not yet identified"),MATCH($B356&amp;$D356,'Smelter Look-up'!$J:$J,0),MATCH($B356&amp;$C356,'Smelter Look-up'!$J:$J,0)))</f>
        <v>360</v>
      </c>
      <c r="W356" s="263"/>
      <c r="X356" s="263">
        <f t="shared" si="49"/>
        <v>0</v>
      </c>
      <c r="Y356" s="263"/>
      <c r="Z356" s="263"/>
      <c r="AB356" s="265" t="str">
        <f t="shared" si="50"/>
        <v>TantalumNingxia Orient Tantalum Industry Co., Ltd.</v>
      </c>
    </row>
    <row r="357" spans="1:28" s="264" customFormat="1" ht="38.25">
      <c r="A357" s="207" t="s">
        <v>764</v>
      </c>
      <c r="B357" s="208" t="s">
        <v>1132</v>
      </c>
      <c r="C357" s="356" t="s">
        <v>1746</v>
      </c>
      <c r="D357" s="270"/>
      <c r="E357" s="208" t="s">
        <v>2456</v>
      </c>
      <c r="F357" s="208" t="s">
        <v>764</v>
      </c>
      <c r="G357" s="208" t="s">
        <v>13320</v>
      </c>
      <c r="H357" s="357">
        <v>0</v>
      </c>
      <c r="I357" s="358" t="s">
        <v>1747</v>
      </c>
      <c r="J357" s="358" t="s">
        <v>1748</v>
      </c>
      <c r="K357" s="359"/>
      <c r="L357" s="359"/>
      <c r="M357" s="359"/>
      <c r="N357" s="359"/>
      <c r="O357" s="359"/>
      <c r="P357" s="360"/>
      <c r="Q357" s="361"/>
      <c r="R357" s="208" t="str">
        <f ca="1">IF(ISERROR($V357),"",OFFSET('Smelter Look-up'!$C$4,$V357-4,0)&amp;"")</f>
        <v>Telex Metals</v>
      </c>
      <c r="S357" s="215" t="str">
        <f t="shared" ca="1" si="48"/>
        <v>US</v>
      </c>
      <c r="T357" s="215" t="str">
        <f ca="1">IF(B357="","",IF(ISERROR(MATCH($J357,SorP!$B$1:$B$6230,0)),"",INDIRECT("'SorP'!$A$"&amp;MATCH($J357,SorP!$B$1:$B$6230,0))))</f>
        <v>US-PA</v>
      </c>
      <c r="U357" s="231"/>
      <c r="V357" s="262">
        <f>IF(C357="",NA(),IF(OR(C357="Smelter not listed",C357="Smelter not yet identified"),MATCH($B357&amp;$D357,'Smelter Look-up'!$J:$J,0),MATCH($B357&amp;$C357,'Smelter Look-up'!$J:$J,0)))</f>
        <v>378</v>
      </c>
      <c r="W357" s="263"/>
      <c r="X357" s="263">
        <f t="shared" si="49"/>
        <v>0</v>
      </c>
      <c r="Y357" s="263"/>
      <c r="Z357" s="263"/>
      <c r="AB357" s="265" t="str">
        <f t="shared" si="50"/>
        <v>TantalumTelex Metals</v>
      </c>
    </row>
    <row r="358" spans="1:28" s="264" customFormat="1" ht="76.5">
      <c r="A358" s="207" t="s">
        <v>765</v>
      </c>
      <c r="B358" s="208" t="s">
        <v>1132</v>
      </c>
      <c r="C358" s="356" t="s">
        <v>1749</v>
      </c>
      <c r="D358" s="270"/>
      <c r="E358" s="208" t="s">
        <v>1109</v>
      </c>
      <c r="F358" s="208" t="s">
        <v>765</v>
      </c>
      <c r="G358" s="208" t="s">
        <v>13320</v>
      </c>
      <c r="H358" s="357">
        <v>0</v>
      </c>
      <c r="I358" s="358" t="s">
        <v>1613</v>
      </c>
      <c r="J358" s="358" t="s">
        <v>7109</v>
      </c>
      <c r="K358" s="359"/>
      <c r="L358" s="359"/>
      <c r="M358" s="359"/>
      <c r="N358" s="359"/>
      <c r="O358" s="359"/>
      <c r="P358" s="360"/>
      <c r="Q358" s="361"/>
      <c r="R358" s="208" t="str">
        <f ca="1">IF(ISERROR($V358),"",OFFSET('Smelter Look-up'!$C$4,$V358-4,0)&amp;"")</f>
        <v>Ulba Metallurgical Plant JSC</v>
      </c>
      <c r="S358" s="215" t="str">
        <f t="shared" ref="S358:S388" ca="1" si="51">IF(B358="","",IF(ISERROR(MATCH($E358,CL,0)),"Unknown",INDIRECT("'C'!$A$"&amp;MATCH($E358,CL,0)+1)))</f>
        <v>KZ</v>
      </c>
      <c r="T358" s="215" t="str">
        <f ca="1">IF(B358="","",IF(ISERROR(MATCH($J358,SorP!$B$1:$B$6230,0)),"",INDIRECT("'SorP'!$A$"&amp;MATCH($J358,SorP!$B$1:$B$6230,0))))</f>
        <v>KZ-KAR</v>
      </c>
      <c r="U358" s="231"/>
      <c r="V358" s="262">
        <f>IF(C358="",NA(),IF(OR(C358="Smelter not listed",C358="Smelter not yet identified"),MATCH($B358&amp;$D358,'Smelter Look-up'!$J:$J,0),MATCH($B358&amp;$C358,'Smelter Look-up'!$J:$J,0)))</f>
        <v>380</v>
      </c>
      <c r="W358" s="263"/>
      <c r="X358" s="263">
        <f t="shared" ref="X358:X388" si="52">IF(AND(C358="Smelter not listed",OR(LEN(D358)=0,LEN(E358)=0)),1,0)</f>
        <v>0</v>
      </c>
      <c r="Y358" s="263"/>
      <c r="Z358" s="263"/>
      <c r="AB358" s="265" t="str">
        <f t="shared" ref="AB358:AB388" si="53">B358&amp;C358</f>
        <v>TantalumUlba Metallurgical Plant JSC</v>
      </c>
    </row>
    <row r="359" spans="1:28" s="264" customFormat="1" ht="114.75">
      <c r="A359" s="207" t="s">
        <v>396</v>
      </c>
      <c r="B359" s="208" t="s">
        <v>1132</v>
      </c>
      <c r="C359" s="356" t="s">
        <v>3</v>
      </c>
      <c r="D359" s="270"/>
      <c r="E359" s="208" t="s">
        <v>1100</v>
      </c>
      <c r="F359" s="208" t="s">
        <v>396</v>
      </c>
      <c r="G359" s="208" t="s">
        <v>13320</v>
      </c>
      <c r="H359" s="357">
        <v>0</v>
      </c>
      <c r="I359" s="358" t="s">
        <v>1751</v>
      </c>
      <c r="J359" s="358" t="s">
        <v>13703</v>
      </c>
      <c r="K359" s="359"/>
      <c r="L359" s="359"/>
      <c r="M359" s="359"/>
      <c r="N359" s="359"/>
      <c r="O359" s="359"/>
      <c r="P359" s="360"/>
      <c r="Q359" s="361"/>
      <c r="R359" s="208" t="str">
        <f ca="1">IF(ISERROR($V359),"",OFFSET('Smelter Look-up'!$C$4,$V359-4,0)&amp;"")</f>
        <v>Hengyang King Xing Lifeng New Materials Co., Ltd.</v>
      </c>
      <c r="S359" s="215" t="str">
        <f t="shared" ca="1" si="51"/>
        <v>CN</v>
      </c>
      <c r="T359" s="215" t="str">
        <f ca="1">IF(B359="","",IF(ISERROR(MATCH($J359,SorP!$B$1:$B$6230,0)),"",INDIRECT("'SorP'!$A$"&amp;MATCH($J359,SorP!$B$1:$B$6230,0))))</f>
        <v>CN-HN</v>
      </c>
      <c r="U359" s="231"/>
      <c r="V359" s="262">
        <f>IF(C359="",NA(),IF(OR(C359="Smelter not listed",C359="Smelter not yet identified"),MATCH($B359&amp;$D359,'Smelter Look-up'!$J:$J,0),MATCH($B359&amp;$C359,'Smelter Look-up'!$J:$J,0)))</f>
        <v>341</v>
      </c>
      <c r="W359" s="263"/>
      <c r="X359" s="263">
        <f t="shared" si="52"/>
        <v>0</v>
      </c>
      <c r="Y359" s="263"/>
      <c r="Z359" s="263"/>
      <c r="AB359" s="265" t="str">
        <f t="shared" si="53"/>
        <v>TantalumHengyang King Xing Lifeng New Materials Co., Ltd.</v>
      </c>
    </row>
    <row r="360" spans="1:28" s="264" customFormat="1" ht="63.75">
      <c r="A360" s="207" t="s">
        <v>1396</v>
      </c>
      <c r="B360" s="208" t="s">
        <v>1132</v>
      </c>
      <c r="C360" s="356" t="s">
        <v>1395</v>
      </c>
      <c r="D360" s="270"/>
      <c r="E360" s="208" t="s">
        <v>2456</v>
      </c>
      <c r="F360" s="208" t="s">
        <v>1396</v>
      </c>
      <c r="G360" s="208" t="s">
        <v>13320</v>
      </c>
      <c r="H360" s="357">
        <v>0</v>
      </c>
      <c r="I360" s="358" t="s">
        <v>1752</v>
      </c>
      <c r="J360" s="358" t="s">
        <v>1753</v>
      </c>
      <c r="K360" s="359"/>
      <c r="L360" s="359"/>
      <c r="M360" s="359"/>
      <c r="N360" s="359"/>
      <c r="O360" s="359"/>
      <c r="P360" s="360"/>
      <c r="Q360" s="361"/>
      <c r="R360" s="208" t="str">
        <f ca="1">IF(ISERROR($V360),"",OFFSET('Smelter Look-up'!$C$4,$V360-4,0)&amp;"")</f>
        <v>D Block Metals, LLC</v>
      </c>
      <c r="S360" s="215" t="str">
        <f t="shared" ca="1" si="51"/>
        <v>US</v>
      </c>
      <c r="T360" s="215" t="str">
        <f ca="1">IF(B360="","",IF(ISERROR(MATCH($J360,SorP!$B$1:$B$6230,0)),"",INDIRECT("'SorP'!$A$"&amp;MATCH($J360,SorP!$B$1:$B$6230,0))))</f>
        <v>US-NC</v>
      </c>
      <c r="U360" s="231"/>
      <c r="V360" s="262">
        <f>IF(C360="",NA(),IF(OR(C360="Smelter not listed",C360="Smelter not yet identified"),MATCH($B360&amp;$D360,'Smelter Look-up'!$J:$J,0),MATCH($B360&amp;$C360,'Smelter Look-up'!$J:$J,0)))</f>
        <v>327</v>
      </c>
      <c r="W360" s="263"/>
      <c r="X360" s="263">
        <f t="shared" si="52"/>
        <v>0</v>
      </c>
      <c r="Y360" s="263"/>
      <c r="Z360" s="263"/>
      <c r="AB360" s="265" t="str">
        <f t="shared" si="53"/>
        <v>TantalumD Block Metals, LLC</v>
      </c>
    </row>
    <row r="361" spans="1:28" s="264" customFormat="1" ht="76.5">
      <c r="A361" s="207" t="s">
        <v>1397</v>
      </c>
      <c r="B361" s="208" t="s">
        <v>1132</v>
      </c>
      <c r="C361" s="356" t="s">
        <v>2183</v>
      </c>
      <c r="D361" s="270"/>
      <c r="E361" s="208" t="s">
        <v>1100</v>
      </c>
      <c r="F361" s="208" t="s">
        <v>1397</v>
      </c>
      <c r="G361" s="208" t="s">
        <v>13320</v>
      </c>
      <c r="H361" s="357">
        <v>0</v>
      </c>
      <c r="I361" s="358" t="s">
        <v>1743</v>
      </c>
      <c r="J361" s="358" t="s">
        <v>13703</v>
      </c>
      <c r="K361" s="359"/>
      <c r="L361" s="359"/>
      <c r="M361" s="359"/>
      <c r="N361" s="359"/>
      <c r="O361" s="359"/>
      <c r="P361" s="360"/>
      <c r="Q361" s="361"/>
      <c r="R361" s="208" t="str">
        <f ca="1">IF(ISERROR($V361),"",OFFSET('Smelter Look-up'!$C$4,$V361-4,0)&amp;"")</f>
        <v>FIR Metals &amp; Resource Ltd.</v>
      </c>
      <c r="S361" s="215" t="str">
        <f t="shared" ca="1" si="51"/>
        <v>CN</v>
      </c>
      <c r="T361" s="215" t="str">
        <f ca="1">IF(B361="","",IF(ISERROR(MATCH($J361,SorP!$B$1:$B$6230,0)),"",INDIRECT("'SorP'!$A$"&amp;MATCH($J361,SorP!$B$1:$B$6230,0))))</f>
        <v>CN-HN</v>
      </c>
      <c r="U361" s="231"/>
      <c r="V361" s="262">
        <f>IF(C361="",NA(),IF(OR(C361="Smelter not listed",C361="Smelter not yet identified"),MATCH($B361&amp;$D361,'Smelter Look-up'!$J:$J,0),MATCH($B361&amp;$C361,'Smelter Look-up'!$J:$J,0)))</f>
        <v>331</v>
      </c>
      <c r="W361" s="263"/>
      <c r="X361" s="263">
        <f t="shared" si="52"/>
        <v>0</v>
      </c>
      <c r="Y361" s="263"/>
      <c r="Z361" s="263"/>
      <c r="AB361" s="265" t="str">
        <f t="shared" si="53"/>
        <v>TantalumFIR Metals &amp; Resource Ltd.</v>
      </c>
    </row>
    <row r="362" spans="1:28" s="264" customFormat="1" ht="63.75">
      <c r="A362" s="207" t="s">
        <v>1416</v>
      </c>
      <c r="B362" s="208" t="s">
        <v>1132</v>
      </c>
      <c r="C362" s="356" t="s">
        <v>1415</v>
      </c>
      <c r="D362" s="270"/>
      <c r="E362" s="208" t="s">
        <v>888</v>
      </c>
      <c r="F362" s="208" t="s">
        <v>1416</v>
      </c>
      <c r="G362" s="208" t="s">
        <v>13320</v>
      </c>
      <c r="H362" s="357">
        <v>0</v>
      </c>
      <c r="I362" s="358" t="s">
        <v>1758</v>
      </c>
      <c r="J362" s="358" t="s">
        <v>1759</v>
      </c>
      <c r="K362" s="359"/>
      <c r="L362" s="359"/>
      <c r="M362" s="359"/>
      <c r="N362" s="359"/>
      <c r="O362" s="359"/>
      <c r="P362" s="360"/>
      <c r="Q362" s="361"/>
      <c r="R362" s="208" t="str">
        <f ca="1">IF(ISERROR($V362),"",OFFSET('Smelter Look-up'!$C$4,$V362-4,0)&amp;"")</f>
        <v>TANIOBIS Co., Ltd.</v>
      </c>
      <c r="S362" s="215" t="str">
        <f t="shared" ca="1" si="51"/>
        <v>TH</v>
      </c>
      <c r="T362" s="215" t="str">
        <f ca="1">IF(B362="","",IF(ISERROR(MATCH($J362,SorP!$B$1:$B$6230,0)),"",INDIRECT("'SorP'!$A$"&amp;MATCH($J362,SorP!$B$1:$B$6230,0))))</f>
        <v>TH-21</v>
      </c>
      <c r="U362" s="231"/>
      <c r="V362" s="262">
        <f>IF(C362="",NA(),IF(OR(C362="Smelter not listed",C362="Smelter not yet identified"),MATCH($B362&amp;$D362,'Smelter Look-up'!$J:$J,0),MATCH($B362&amp;$C362,'Smelter Look-up'!$J:$J,0)))</f>
        <v>335</v>
      </c>
      <c r="W362" s="263"/>
      <c r="X362" s="263">
        <f t="shared" si="52"/>
        <v>0</v>
      </c>
      <c r="Y362" s="263"/>
      <c r="Z362" s="263"/>
      <c r="AB362" s="265" t="str">
        <f t="shared" si="53"/>
        <v>TantalumH.C. Starck Co., Ltd.</v>
      </c>
    </row>
    <row r="363" spans="1:28" s="264" customFormat="1" ht="89.25">
      <c r="A363" s="207" t="s">
        <v>1417</v>
      </c>
      <c r="B363" s="208" t="s">
        <v>1132</v>
      </c>
      <c r="C363" s="356" t="s">
        <v>2548</v>
      </c>
      <c r="D363" s="270"/>
      <c r="E363" s="208" t="s">
        <v>1101</v>
      </c>
      <c r="F363" s="208" t="s">
        <v>1417</v>
      </c>
      <c r="G363" s="208" t="s">
        <v>13320</v>
      </c>
      <c r="H363" s="357">
        <v>0</v>
      </c>
      <c r="I363" s="358" t="s">
        <v>1760</v>
      </c>
      <c r="J363" s="358" t="s">
        <v>4270</v>
      </c>
      <c r="K363" s="359"/>
      <c r="L363" s="359"/>
      <c r="M363" s="359"/>
      <c r="N363" s="359"/>
      <c r="O363" s="359"/>
      <c r="P363" s="360"/>
      <c r="Q363" s="361"/>
      <c r="R363" s="208" t="str">
        <f ca="1">IF(ISERROR($V363),"",OFFSET('Smelter Look-up'!$C$4,$V363-4,0)&amp;"")</f>
        <v>TANIOBIS GmbH</v>
      </c>
      <c r="S363" s="215" t="str">
        <f t="shared" ca="1" si="51"/>
        <v>DE</v>
      </c>
      <c r="T363" s="215" t="str">
        <f ca="1">IF(B363="","",IF(ISERROR(MATCH($J363,SorP!$B$1:$B$6230,0)),"",INDIRECT("'SorP'!$A$"&amp;MATCH($J363,SorP!$B$1:$B$6230,0))))</f>
        <v>DE-NI</v>
      </c>
      <c r="U363" s="231"/>
      <c r="V363" s="262">
        <f>IF(C363="",NA(),IF(OR(C363="Smelter not listed",C363="Smelter not yet identified"),MATCH($B363&amp;$D363,'Smelter Look-up'!$J:$J,0),MATCH($B363&amp;$C363,'Smelter Look-up'!$J:$J,0)))</f>
        <v>340</v>
      </c>
      <c r="W363" s="263"/>
      <c r="X363" s="263">
        <f t="shared" si="52"/>
        <v>0</v>
      </c>
      <c r="Y363" s="263"/>
      <c r="Z363" s="263"/>
      <c r="AB363" s="265" t="str">
        <f t="shared" si="53"/>
        <v>TantalumH.C. Starck Tantalum and Niobium GmbH</v>
      </c>
    </row>
    <row r="364" spans="1:28" s="264" customFormat="1" ht="63.75">
      <c r="A364" s="207" t="s">
        <v>1419</v>
      </c>
      <c r="B364" s="208" t="s">
        <v>1132</v>
      </c>
      <c r="C364" s="356" t="s">
        <v>1418</v>
      </c>
      <c r="D364" s="270"/>
      <c r="E364" s="208" t="s">
        <v>1101</v>
      </c>
      <c r="F364" s="208" t="s">
        <v>1419</v>
      </c>
      <c r="G364" s="208" t="s">
        <v>13320</v>
      </c>
      <c r="H364" s="357">
        <v>0</v>
      </c>
      <c r="I364" s="358" t="s">
        <v>1762</v>
      </c>
      <c r="J364" s="358" t="s">
        <v>4248</v>
      </c>
      <c r="K364" s="359"/>
      <c r="L364" s="359"/>
      <c r="M364" s="359"/>
      <c r="N364" s="359"/>
      <c r="O364" s="359"/>
      <c r="P364" s="360"/>
      <c r="Q364" s="361"/>
      <c r="R364" s="208" t="str">
        <f ca="1">IF(ISERROR($V364),"",OFFSET('Smelter Look-up'!$C$4,$V364-4,0)&amp;"")</f>
        <v>H.C. Starck Hermsdorf GmbH</v>
      </c>
      <c r="S364" s="215" t="str">
        <f t="shared" ca="1" si="51"/>
        <v>DE</v>
      </c>
      <c r="T364" s="215" t="str">
        <f ca="1">IF(B364="","",IF(ISERROR(MATCH($J364,SorP!$B$1:$B$6230,0)),"",INDIRECT("'SorP'!$A$"&amp;MATCH($J364,SorP!$B$1:$B$6230,0))))</f>
        <v>DE-TH</v>
      </c>
      <c r="U364" s="231"/>
      <c r="V364" s="262">
        <f>IF(C364="",NA(),IF(OR(C364="Smelter not listed",C364="Smelter not yet identified"),MATCH($B364&amp;$D364,'Smelter Look-up'!$J:$J,0),MATCH($B364&amp;$C364,'Smelter Look-up'!$J:$J,0)))</f>
        <v>336</v>
      </c>
      <c r="W364" s="263"/>
      <c r="X364" s="263">
        <f t="shared" si="52"/>
        <v>0</v>
      </c>
      <c r="Y364" s="263"/>
      <c r="Z364" s="263"/>
      <c r="AB364" s="265" t="str">
        <f t="shared" si="53"/>
        <v>TantalumH.C. Starck Hermsdorf GmbH</v>
      </c>
    </row>
    <row r="365" spans="1:28" s="264" customFormat="1" ht="51">
      <c r="A365" s="207" t="s">
        <v>1421</v>
      </c>
      <c r="B365" s="208" t="s">
        <v>1132</v>
      </c>
      <c r="C365" s="356" t="s">
        <v>1420</v>
      </c>
      <c r="D365" s="270"/>
      <c r="E365" s="208" t="s">
        <v>2456</v>
      </c>
      <c r="F365" s="208" t="s">
        <v>1421</v>
      </c>
      <c r="G365" s="208" t="s">
        <v>13320</v>
      </c>
      <c r="H365" s="357">
        <v>0</v>
      </c>
      <c r="I365" s="358" t="s">
        <v>1763</v>
      </c>
      <c r="J365" s="358" t="s">
        <v>1632</v>
      </c>
      <c r="K365" s="359"/>
      <c r="L365" s="359"/>
      <c r="M365" s="359"/>
      <c r="N365" s="359"/>
      <c r="O365" s="359"/>
      <c r="P365" s="360"/>
      <c r="Q365" s="361"/>
      <c r="R365" s="208" t="str">
        <f ca="1">IF(ISERROR($V365),"",OFFSET('Smelter Look-up'!$C$4,$V365-4,0)&amp;"")</f>
        <v>H.C. Starck Inc.</v>
      </c>
      <c r="S365" s="215" t="str">
        <f t="shared" ca="1" si="51"/>
        <v>US</v>
      </c>
      <c r="T365" s="215" t="str">
        <f ca="1">IF(B365="","",IF(ISERROR(MATCH($J365,SorP!$B$1:$B$6230,0)),"",INDIRECT("'SorP'!$A$"&amp;MATCH($J365,SorP!$B$1:$B$6230,0))))</f>
        <v>US-MA</v>
      </c>
      <c r="U365" s="231"/>
      <c r="V365" s="262">
        <f>IF(C365="",NA(),IF(OR(C365="Smelter not listed",C365="Smelter not yet identified"),MATCH($B365&amp;$D365,'Smelter Look-up'!$J:$J,0),MATCH($B365&amp;$C365,'Smelter Look-up'!$J:$J,0)))</f>
        <v>337</v>
      </c>
      <c r="W365" s="263"/>
      <c r="X365" s="263">
        <f t="shared" si="52"/>
        <v>0</v>
      </c>
      <c r="Y365" s="263"/>
      <c r="Z365" s="263"/>
      <c r="AB365" s="265" t="str">
        <f t="shared" si="53"/>
        <v>TantalumH.C. Starck Inc.</v>
      </c>
    </row>
    <row r="366" spans="1:28" s="264" customFormat="1" ht="51">
      <c r="A366" s="207" t="s">
        <v>1423</v>
      </c>
      <c r="B366" s="208" t="s">
        <v>1132</v>
      </c>
      <c r="C366" s="356" t="s">
        <v>1422</v>
      </c>
      <c r="D366" s="270"/>
      <c r="E366" s="208" t="s">
        <v>1108</v>
      </c>
      <c r="F366" s="208" t="s">
        <v>1423</v>
      </c>
      <c r="G366" s="208" t="s">
        <v>13320</v>
      </c>
      <c r="H366" s="357">
        <v>0</v>
      </c>
      <c r="I366" s="358" t="s">
        <v>1764</v>
      </c>
      <c r="J366" s="358" t="s">
        <v>1765</v>
      </c>
      <c r="K366" s="359"/>
      <c r="L366" s="359"/>
      <c r="M366" s="359"/>
      <c r="N366" s="359"/>
      <c r="O366" s="359"/>
      <c r="P366" s="360"/>
      <c r="Q366" s="361"/>
      <c r="R366" s="208" t="str">
        <f ca="1">IF(ISERROR($V366),"",OFFSET('Smelter Look-up'!$C$4,$V366-4,0)&amp;"")</f>
        <v>TANIOBIS Japan Co., Ltd.</v>
      </c>
      <c r="S366" s="215" t="str">
        <f t="shared" ca="1" si="51"/>
        <v>JP</v>
      </c>
      <c r="T366" s="215" t="str">
        <f ca="1">IF(B366="","",IF(ISERROR(MATCH($J366,SorP!$B$1:$B$6230,0)),"",INDIRECT("'SorP'!$A$"&amp;MATCH($J366,SorP!$B$1:$B$6230,0))))</f>
        <v>JP-08</v>
      </c>
      <c r="U366" s="231"/>
      <c r="V366" s="262">
        <f>IF(C366="",NA(),IF(OR(C366="Smelter not listed",C366="Smelter not yet identified"),MATCH($B366&amp;$D366,'Smelter Look-up'!$J:$J,0),MATCH($B366&amp;$C366,'Smelter Look-up'!$J:$J,0)))</f>
        <v>338</v>
      </c>
      <c r="W366" s="263"/>
      <c r="X366" s="263">
        <f t="shared" si="52"/>
        <v>0</v>
      </c>
      <c r="Y366" s="263"/>
      <c r="Z366" s="263"/>
      <c r="AB366" s="265" t="str">
        <f t="shared" si="53"/>
        <v>TantalumH.C. Starck Ltd.</v>
      </c>
    </row>
    <row r="367" spans="1:28" s="264" customFormat="1" ht="76.5">
      <c r="A367" s="207" t="s">
        <v>1424</v>
      </c>
      <c r="B367" s="208" t="s">
        <v>1132</v>
      </c>
      <c r="C367" s="356" t="s">
        <v>2357</v>
      </c>
      <c r="D367" s="270"/>
      <c r="E367" s="208" t="s">
        <v>1101</v>
      </c>
      <c r="F367" s="208" t="s">
        <v>1424</v>
      </c>
      <c r="G367" s="208" t="s">
        <v>13320</v>
      </c>
      <c r="H367" s="357">
        <v>0</v>
      </c>
      <c r="I367" s="358" t="s">
        <v>1761</v>
      </c>
      <c r="J367" s="358" t="s">
        <v>1550</v>
      </c>
      <c r="K367" s="359"/>
      <c r="L367" s="359"/>
      <c r="M367" s="359"/>
      <c r="N367" s="359"/>
      <c r="O367" s="359"/>
      <c r="P367" s="360"/>
      <c r="Q367" s="361"/>
      <c r="R367" s="208" t="str">
        <f ca="1">IF(ISERROR($V367),"",OFFSET('Smelter Look-up'!$C$4,$V367-4,0)&amp;"")</f>
        <v>TANIOBIS Smelting GmbH &amp; Co. KG</v>
      </c>
      <c r="S367" s="215" t="str">
        <f t="shared" ca="1" si="51"/>
        <v>DE</v>
      </c>
      <c r="T367" s="215" t="str">
        <f ca="1">IF(B367="","",IF(ISERROR(MATCH($J367,SorP!$B$1:$B$6230,0)),"",INDIRECT("'SorP'!$A$"&amp;MATCH($J367,SorP!$B$1:$B$6230,0))))</f>
        <v>DE-BW</v>
      </c>
      <c r="U367" s="231"/>
      <c r="V367" s="262">
        <f>IF(C367="",NA(),IF(OR(C367="Smelter not listed",C367="Smelter not yet identified"),MATCH($B367&amp;$D367,'Smelter Look-up'!$J:$J,0),MATCH($B367&amp;$C367,'Smelter Look-up'!$J:$J,0)))</f>
        <v>339</v>
      </c>
      <c r="W367" s="263"/>
      <c r="X367" s="263">
        <f t="shared" si="52"/>
        <v>0</v>
      </c>
      <c r="Y367" s="263"/>
      <c r="Z367" s="263"/>
      <c r="AB367" s="265" t="str">
        <f t="shared" si="53"/>
        <v>TantalumH.C. Starck Smelting GmbH &amp; Co. KG</v>
      </c>
    </row>
    <row r="368" spans="1:28" s="264" customFormat="1" ht="89.25">
      <c r="A368" s="207" t="s">
        <v>1414</v>
      </c>
      <c r="B368" s="208" t="s">
        <v>1132</v>
      </c>
      <c r="C368" s="356" t="s">
        <v>1413</v>
      </c>
      <c r="D368" s="270"/>
      <c r="E368" s="208" t="s">
        <v>2456</v>
      </c>
      <c r="F368" s="208" t="s">
        <v>1414</v>
      </c>
      <c r="G368" s="208" t="s">
        <v>13320</v>
      </c>
      <c r="H368" s="357">
        <v>0</v>
      </c>
      <c r="I368" s="358" t="s">
        <v>1766</v>
      </c>
      <c r="J368" s="358" t="s">
        <v>1748</v>
      </c>
      <c r="K368" s="359"/>
      <c r="L368" s="359"/>
      <c r="M368" s="359"/>
      <c r="N368" s="359"/>
      <c r="O368" s="359"/>
      <c r="P368" s="360"/>
      <c r="Q368" s="361"/>
      <c r="R368" s="208" t="str">
        <f ca="1">IF(ISERROR($V368),"",OFFSET('Smelter Look-up'!$C$4,$V368-4,0)&amp;"")</f>
        <v>Global Advanced Metals Boyertown</v>
      </c>
      <c r="S368" s="215" t="str">
        <f t="shared" ca="1" si="51"/>
        <v>US</v>
      </c>
      <c r="T368" s="215" t="str">
        <f ca="1">IF(B368="","",IF(ISERROR(MATCH($J368,SorP!$B$1:$B$6230,0)),"",INDIRECT("'SorP'!$A$"&amp;MATCH($J368,SorP!$B$1:$B$6230,0))))</f>
        <v>US-PA</v>
      </c>
      <c r="U368" s="231"/>
      <c r="V368" s="262">
        <f>IF(C368="",NA(),IF(OR(C368="Smelter not listed",C368="Smelter not yet identified"),MATCH($B368&amp;$D368,'Smelter Look-up'!$J:$J,0),MATCH($B368&amp;$C368,'Smelter Look-up'!$J:$J,0)))</f>
        <v>333</v>
      </c>
      <c r="W368" s="263"/>
      <c r="X368" s="263">
        <f t="shared" si="52"/>
        <v>0</v>
      </c>
      <c r="Y368" s="263"/>
      <c r="Z368" s="263"/>
      <c r="AB368" s="265" t="str">
        <f t="shared" si="53"/>
        <v>TantalumGlobal Advanced Metals Boyertown</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F672D58-9863-4065-A21E-43C65FB868B4}"/>
    </customSheetView>
  </customSheetViews>
  <mergeCells count="3">
    <mergeCell ref="J2:O2"/>
    <mergeCell ref="B3:E3"/>
    <mergeCell ref="G3:I3"/>
  </mergeCells>
  <conditionalFormatting sqref="B586:B2504">
    <cfRule type="expression" dxfId="60" priority="68" stopIfTrue="1">
      <formula>IF(B586="",TRUE)</formula>
    </cfRule>
    <cfRule type="expression" dxfId="59" priority="79" stopIfTrue="1">
      <formula>IF(AND(COUNTIF(MetalSmelter,B586&amp;C586)=0,LEN(C586)&gt;0),TRUE,FALSE)</formula>
    </cfRule>
  </conditionalFormatting>
  <conditionalFormatting sqref="R586:R2505 E586:E2504">
    <cfRule type="expression" dxfId="58" priority="75" stopIfTrue="1">
      <formula>IF(AND(E586="",$C586=$X$4),TRUE)</formula>
    </cfRule>
    <cfRule type="expression" dxfId="57" priority="76" stopIfTrue="1">
      <formula>IF(FIND("!",E586),TRUE)</formula>
    </cfRule>
  </conditionalFormatting>
  <conditionalFormatting sqref="F586:F2504">
    <cfRule type="expression" dxfId="56" priority="66" stopIfTrue="1">
      <formula>IF(AND(LEN($A586)&gt;0,$A586&lt;&gt;$F586),TRUE,FALSE)</formula>
    </cfRule>
  </conditionalFormatting>
  <conditionalFormatting sqref="C586:C2504">
    <cfRule type="expression" dxfId="55" priority="65" stopIfTrue="1">
      <formula>IF(AND(B586&lt;&gt;"",C586=""),TRUE)</formula>
    </cfRule>
  </conditionalFormatting>
  <conditionalFormatting sqref="B369:B585">
    <cfRule type="expression" dxfId="54" priority="44" stopIfTrue="1">
      <formula>IF(B369="",TRUE)</formula>
    </cfRule>
    <cfRule type="expression" dxfId="53" priority="47" stopIfTrue="1">
      <formula>IF(AND(COUNTIF(MetalSmelter,B369&amp;C369)=0,LEN(C369)&gt;0),TRUE,FALSE)</formula>
    </cfRule>
  </conditionalFormatting>
  <conditionalFormatting sqref="G369:G2504">
    <cfRule type="expression" dxfId="52" priority="50" stopIfTrue="1">
      <formula>IF(FIND("Enter smelter details",G369),TRUE)</formula>
    </cfRule>
  </conditionalFormatting>
  <conditionalFormatting sqref="R5:R585 E369:E585">
    <cfRule type="expression" dxfId="51" priority="45" stopIfTrue="1">
      <formula>IF(AND(E5="",$C5=$X$4),TRUE)</formula>
    </cfRule>
    <cfRule type="expression" dxfId="50" priority="46" stopIfTrue="1">
      <formula>IF(FIND("!",E5),TRUE)</formula>
    </cfRule>
  </conditionalFormatting>
  <conditionalFormatting sqref="F369:F585">
    <cfRule type="expression" dxfId="49" priority="43" stopIfTrue="1">
      <formula>IF(AND(LEN($A369)&gt;0,$A369&lt;&gt;$F369),TRUE,FALSE)</formula>
    </cfRule>
  </conditionalFormatting>
  <conditionalFormatting sqref="C369:C585">
    <cfRule type="expression" dxfId="48" priority="42" stopIfTrue="1">
      <formula>IF(AND(B369&lt;&gt;"",C369=""),TRUE)</formula>
    </cfRule>
  </conditionalFormatting>
  <conditionalFormatting sqref="D369:D2504">
    <cfRule type="expression" dxfId="47" priority="41" stopIfTrue="1">
      <formula>IF(AND(LEN($C369)&gt;0,AND($C369&lt;&gt;"Smelter Not Listed",ISBLANK($D369))),1,0)</formula>
    </cfRule>
    <cfRule type="expression" dxfId="46" priority="48" stopIfTrue="1">
      <formula>IF(AND(D369="",$C369=$X$4),TRUE)</formula>
    </cfRule>
    <cfRule type="expression" dxfId="45" priority="49" stopIfTrue="1">
      <formula>IF(FIND("!",D369),TRUE)</formula>
    </cfRule>
  </conditionalFormatting>
  <conditionalFormatting sqref="B21:B368">
    <cfRule type="expression" dxfId="44" priority="27" stopIfTrue="1">
      <formula>IF(B21="",TRUE)</formula>
    </cfRule>
    <cfRule type="expression" dxfId="43" priority="30" stopIfTrue="1">
      <formula>IF(AND(COUNTIF(MetalSmelter,B21&amp;C21)=0,LEN(C21)&gt;0),TRUE,FALSE)</formula>
    </cfRule>
  </conditionalFormatting>
  <conditionalFormatting sqref="E21:E368">
    <cfRule type="expression" dxfId="42" priority="28" stopIfTrue="1">
      <formula>IF(AND(E21="",$C21=$X$4),TRUE)</formula>
    </cfRule>
    <cfRule type="expression" dxfId="41" priority="29" stopIfTrue="1">
      <formula>IF(FIND("!",E21),TRUE)</formula>
    </cfRule>
  </conditionalFormatting>
  <conditionalFormatting sqref="F21:F368">
    <cfRule type="expression" dxfId="40" priority="26" stopIfTrue="1">
      <formula>IF(AND(LEN($A21)&gt;0,$A21&lt;&gt;$F21),TRUE,FALSE)</formula>
    </cfRule>
  </conditionalFormatting>
  <conditionalFormatting sqref="C21:C368">
    <cfRule type="expression" dxfId="39" priority="25" stopIfTrue="1">
      <formula>IF(AND(B21&lt;&gt;"",C21=""),TRUE)</formula>
    </cfRule>
  </conditionalFormatting>
  <conditionalFormatting sqref="G21:G368">
    <cfRule type="expression" dxfId="38" priority="24" stopIfTrue="1">
      <formula>IF(FIND("Enter smelter details",G21),TRUE)</formula>
    </cfRule>
  </conditionalFormatting>
  <conditionalFormatting sqref="D21:D368">
    <cfRule type="expression" dxfId="37" priority="21" stopIfTrue="1">
      <formula>IF(AND(LEN($C21)&gt;0,($C21&lt;&gt;"Smelter Not Listed")),1,0)</formula>
    </cfRule>
    <cfRule type="expression" dxfId="36" priority="22" stopIfTrue="1">
      <formula>IF(AND(D21="",$C21=$X$4),TRUE)</formula>
    </cfRule>
    <cfRule type="expression" dxfId="35" priority="23" stopIfTrue="1">
      <formula>IF(FIND("!",D21),TRUE)</formula>
    </cfRule>
  </conditionalFormatting>
  <conditionalFormatting sqref="B5:B19">
    <cfRule type="expression" dxfId="34" priority="14" stopIfTrue="1">
      <formula>IF(B5="",TRUE)</formula>
    </cfRule>
    <cfRule type="expression" dxfId="33" priority="17" stopIfTrue="1">
      <formula>IF(AND(COUNTIF(MetalSmelter,B5&amp;C5)=0,LEN(C5)&gt;0),TRUE,FALSE)</formula>
    </cfRule>
  </conditionalFormatting>
  <conditionalFormatting sqref="D5:D19">
    <cfRule type="expression" dxfId="32" priority="11" stopIfTrue="1">
      <formula>IF(AND(LEN($C5)&gt;0,($C5&lt;&gt;"Smelter Not Listed")),1,0)</formula>
    </cfRule>
    <cfRule type="expression" dxfId="31" priority="18" stopIfTrue="1">
      <formula>IF(AND(D5="",$C5=$X$4),TRUE)</formula>
    </cfRule>
    <cfRule type="expression" dxfId="30" priority="19" stopIfTrue="1">
      <formula>IF(FIND("!",D5),TRUE)</formula>
    </cfRule>
  </conditionalFormatting>
  <conditionalFormatting sqref="G5:G19">
    <cfRule type="expression" dxfId="29" priority="20" stopIfTrue="1">
      <formula>IF(FIND("Enter smelter details",G5),TRUE)</formula>
    </cfRule>
  </conditionalFormatting>
  <conditionalFormatting sqref="E5:E19">
    <cfRule type="expression" dxfId="28" priority="15" stopIfTrue="1">
      <formula>IF(AND(E5="",$C5=$X$4),TRUE)</formula>
    </cfRule>
    <cfRule type="expression" dxfId="27" priority="16" stopIfTrue="1">
      <formula>IF(FIND("!",E5),TRUE)</formula>
    </cfRule>
  </conditionalFormatting>
  <conditionalFormatting sqref="F5:F19">
    <cfRule type="expression" dxfId="26" priority="13" stopIfTrue="1">
      <formula>IF(AND(LEN($A5)&gt;0,$A5&lt;&gt;$F5),TRUE,FALSE)</formula>
    </cfRule>
  </conditionalFormatting>
  <conditionalFormatting sqref="C5:C19">
    <cfRule type="expression" dxfId="25" priority="12" stopIfTrue="1">
      <formula>IF(AND(B5&lt;&gt;"",C5=""),TRUE)</formula>
    </cfRule>
  </conditionalFormatting>
  <conditionalFormatting sqref="B20">
    <cfRule type="expression" dxfId="24" priority="4" stopIfTrue="1">
      <formula>IF(B20="",TRUE)</formula>
    </cfRule>
    <cfRule type="expression" dxfId="23" priority="7" stopIfTrue="1">
      <formula>IF(AND(COUNTIF(MetalSmelter,B20&amp;C20)=0,LEN(C20)&gt;0),TRUE,FALSE)</formula>
    </cfRule>
  </conditionalFormatting>
  <conditionalFormatting sqref="D20">
    <cfRule type="expression" dxfId="22" priority="1" stopIfTrue="1">
      <formula>IF(AND(LEN($C20)&gt;0,($C20&lt;&gt;"Smelter Not Listed")),1,0)</formula>
    </cfRule>
    <cfRule type="expression" dxfId="21" priority="8" stopIfTrue="1">
      <formula>IF(AND(D20="",$C20=$X$4),TRUE)</formula>
    </cfRule>
    <cfRule type="expression" dxfId="20" priority="9" stopIfTrue="1">
      <formula>IF(FIND("!",D20),TRUE)</formula>
    </cfRule>
  </conditionalFormatting>
  <conditionalFormatting sqref="G20">
    <cfRule type="expression" dxfId="19" priority="10" stopIfTrue="1">
      <formula>IF(FIND("Enter smelter details",G20),TRUE)</formula>
    </cfRule>
  </conditionalFormatting>
  <conditionalFormatting sqref="E20">
    <cfRule type="expression" dxfId="18" priority="5" stopIfTrue="1">
      <formula>IF(AND(E20="",$C20=$X$4),TRUE)</formula>
    </cfRule>
    <cfRule type="expression" dxfId="17" priority="6" stopIfTrue="1">
      <formula>IF(FIND("!",E20),TRUE)</formula>
    </cfRule>
  </conditionalFormatting>
  <conditionalFormatting sqref="F20">
    <cfRule type="expression" dxfId="16" priority="3" stopIfTrue="1">
      <formula>IF(AND(LEN($A20)&gt;0,$A20&lt;&gt;$F20),TRUE,FALSE)</formula>
    </cfRule>
  </conditionalFormatting>
  <conditionalFormatting sqref="C20">
    <cfRule type="expression" dxfId="15"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8" t="str">
        <f ca="1">OFFSET(L!$C$1,MATCH("Checker"&amp;ADDRESS(ROW(),COLUMN(),4),L!$A:$A,0)-1,SL,,)</f>
        <v>To ensure all required fields have been populated before submitting to your customers review form for any line items highlighted in red</v>
      </c>
      <c r="B1" s="458"/>
      <c r="C1" s="458"/>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pSemi Corporation</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t="str">
        <f>Declaration!D10</f>
        <v>pSemi Corporation Products</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Rouzbeh Jani</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rjani@psemi.com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858-731-9409</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Rouzbeh Jani</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rjani@psemi.com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44735</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Yes</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Yes</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Tungsten  (*)</v>
      </c>
      <c r="B27" s="99" t="str">
        <f>IF(AND($B$17="Yes",$B$22="Yes"),Declaration!D41,0)</f>
        <v>Yes</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Yes</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Yes</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Yes</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Tungsten  (*)</v>
      </c>
      <c r="B32" s="99" t="str">
        <f>IF(AND($B$17="Yes",$B$22="Yes"),Declaration!D47,0)</f>
        <v>Yes</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Tantalum  (*)</v>
      </c>
      <c r="B39" s="333">
        <f>IF(AND($B$14="Yes",$B$19="Yes"),Declaration!D56,0)</f>
        <v>1</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Tungsten  (*)</v>
      </c>
      <c r="B42" s="333">
        <f>IF(AND($B$17="Yes",$B$22="Yes"),Declaration!D59,0)</f>
        <v>1</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Tantalum  (*)</v>
      </c>
      <c r="B44" s="99" t="str">
        <f>IF(AND($B$14="Yes",$B$19="Yes"),Declaration!D62,0)</f>
        <v>Yes</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Tungsten  (*)</v>
      </c>
      <c r="B47" s="99" t="str">
        <f>IF(AND($B$17="Yes",$B$22="Yes"),Declaration!D65,0)</f>
        <v>Yes</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No</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1</v>
      </c>
      <c r="G65" s="78">
        <f>IF(AND(COUNTIF(SmelterIdetifiedForMetal,"Tantalum")&gt;0,COUNTIF('Smelter List'!AB$5:AB$2504,"Tantalum?*")&gt;0),0,1)</f>
        <v>0</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1</v>
      </c>
      <c r="G68" s="78">
        <f>IF(AND(COUNTIF(SmelterIdetifiedForMetal,"Tungsten")&gt;0,COUNTIF('Smelter List'!AB$5:AB$2504,"Tungsten?*")&gt;0),0,1)</f>
        <v>0</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60" t="str">
        <f ca="1">OFFSET(L!$C$1,MATCH("Product List"&amp;ADDRESS(ROW(),COLUMN(),4),L!$A:$A,0)-1,SL,,)</f>
        <v>Completion required only if reporting level "Product (or List of Products)" selected on the 'Declaration' worksheet.</v>
      </c>
      <c r="B1" s="461"/>
      <c r="C1" s="461"/>
      <c r="D1" s="461"/>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9" t="s">
        <v>898</v>
      </c>
      <c r="C4" s="459"/>
      <c r="D4" s="459"/>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62" t="str">
        <f ca="1">OFFSET(L!$C$1,MATCH("General"&amp;"Cpy",L!$A:$A,0)-1,SL,,)</f>
        <v>© 2022 Responsible Minerals Initiative. All rights reserved.</v>
      </c>
      <c r="C2006" s="462"/>
      <c r="D2006" s="462"/>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6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3"/>
      <c r="C1" s="463"/>
      <c r="D1" s="463"/>
      <c r="E1" s="463"/>
      <c r="F1" s="463"/>
      <c r="G1" s="463"/>
    </row>
    <row r="2" spans="1:16">
      <c r="A2" s="464"/>
      <c r="B2" s="464"/>
      <c r="C2" s="464"/>
      <c r="D2" s="464"/>
      <c r="E2" s="464"/>
      <c r="F2" s="464"/>
      <c r="G2" s="464"/>
      <c r="H2" s="464"/>
      <c r="I2" s="464"/>
    </row>
    <row r="3" spans="1:16">
      <c r="A3" s="464"/>
      <c r="B3" s="464"/>
      <c r="C3" s="464"/>
      <c r="D3" s="464"/>
      <c r="E3" s="464"/>
      <c r="F3" s="464"/>
      <c r="G3" s="464"/>
      <c r="H3" s="464"/>
      <c r="I3" s="464"/>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28">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42.75">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501AFAF-CBC5-4A87-95DC-4BA6C55159B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E9C45319-243C-405D-85C7-C473625DDB8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AD5A914B-E751-4CCC-BEC4-5CF2B37FB66A}"/>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Griselda Albarran</cp:lastModifiedBy>
  <cp:lastPrinted>2015-04-21T20:47:43Z</cp:lastPrinted>
  <dcterms:created xsi:type="dcterms:W3CDTF">2010-06-21T21:00:23Z</dcterms:created>
  <dcterms:modified xsi:type="dcterms:W3CDTF">2022-06-30T16:00:08Z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