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C:\Users\mreagan\Desktop\"/>
    </mc:Choice>
  </mc:AlternateContent>
  <xr:revisionPtr revIDLastSave="0" documentId="13_ncr:1_{73B73778-AA96-4A77-AF95-5DB94546102C}"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38520" yWindow="4830" windowWidth="33690" windowHeight="1867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5" l="1"/>
  <c r="T6" i="5"/>
  <c r="S7" i="5"/>
  <c r="T7" i="5"/>
  <c r="S8" i="5"/>
  <c r="T8" i="5"/>
  <c r="S9" i="5"/>
  <c r="T9" i="5"/>
  <c r="S10" i="5"/>
  <c r="T10" i="5"/>
  <c r="S11"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S5" i="5"/>
  <c r="T5"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V10" i="5"/>
  <c r="V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R10" i="5"/>
  <c r="H13" i="5"/>
  <c r="R13" i="5"/>
  <c r="J13" i="5"/>
  <c r="I13" i="5"/>
  <c r="F13" i="5"/>
  <c r="R7" i="5"/>
  <c r="H17" i="5"/>
  <c r="I17" i="5"/>
  <c r="J17" i="5"/>
  <c r="R17" i="5"/>
  <c r="F17" i="5"/>
  <c r="G66" i="6"/>
  <c r="H66" i="6"/>
  <c r="C66" i="6"/>
  <c r="G67" i="6"/>
  <c r="H67" i="6"/>
  <c r="D67" i="6"/>
  <c r="G65" i="6"/>
  <c r="H65" i="6"/>
  <c r="C65" i="6"/>
  <c r="I12" i="5"/>
  <c r="J12" i="5"/>
  <c r="R12" i="5"/>
  <c r="F12" i="5"/>
  <c r="H12" i="5"/>
  <c r="R9" i="5"/>
  <c r="R8" i="5"/>
  <c r="H15" i="5"/>
  <c r="J15" i="5"/>
  <c r="I15" i="5"/>
  <c r="F15" i="5"/>
  <c r="R15" i="5"/>
  <c r="R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<sst xmlns="http://schemas.openxmlformats.org/spreadsheetml/2006/main" count="22551" uniqueCount="15866">
  <si>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</si>
  <si>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</si>
  <si>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</si>
  <si>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</si>
  <si>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</si>
  <si>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</si>
  <si>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</si>
  <si>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</si>
  <si>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</si>
  <si>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</si>
  <si>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</si>
  <si>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</si>
  <si>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</si>
  <si>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</si>
  <si>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</si>
  <si>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</si>
  <si>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</si>
  <si>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</si>
  <si>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</si>
  <si>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</si>
  <si>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</si>
  <si>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</si>
  <si>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</si>
  <si>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</si>
  <si>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</si>
  <si>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</si>
  <si>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</si>
  <si>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</si>
  <si>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</si>
  <si>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</si>
  <si>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</si>
  <si>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</si>
  <si>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</si>
  <si>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</si>
  <si>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</si>
  <si>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</si>
  <si>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</si>
  <si>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</si>
  <si>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</si>
  <si>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</si>
  <si>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</si>
  <si>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</si>
  <si>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</si>
  <si>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</si>
  <si>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</si>
  <si>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</si>
  <si>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</si>
  <si>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</si>
  <si>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</si>
  <si>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</si>
  <si>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</si>
  <si>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</si>
  <si>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</si>
  <si>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</si>
  <si>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</si>
  <si>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</si>
  <si>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</si>
  <si>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</si>
  <si>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</si>
  <si>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</si>
  <si>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</si>
  <si>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</si>
  <si>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</si>
  <si>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</si>
  <si>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</si>
  <si>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</si>
  <si>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</si>
  <si>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</si>
  <si>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</si>
  <si>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</si>
  <si>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</si>
  <si>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</si>
  <si>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</si>
  <si>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</si>
  <si>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</si>
  <si>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</si>
  <si>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</si>
  <si>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</si>
  <si>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</si>
  <si>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</si>
  <si>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</si>
  <si>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</si>
  <si>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</si>
  <si>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</si>
  <si>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</si>
  <si>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</si>
  <si>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</si>
  <si>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</si>
  <si>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</si>
  <si>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</si>
  <si>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</si>
  <si>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</si>
  <si>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</si>
  <si>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</si>
  <si>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</si>
  <si>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</si>
  <si>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</si>
  <si>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</si>
  <si>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</si>
  <si>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</si>
  <si>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</si>
  <si>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</si>
  <si>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</si>
  <si>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</si>
  <si>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</si>
  <si>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</si>
  <si>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</si>
  <si>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</si>
  <si>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</si>
  <si>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</si>
  <si>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</si>
  <si>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</si>
  <si>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</si>
  <si>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</si>
  <si>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</si>
  <si>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</si>
  <si>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</si>
  <si>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</si>
  <si>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</si>
  <si>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</si>
  <si>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</si>
  <si>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</si>
  <si>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</si>
  <si>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</si>
  <si>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</si>
  <si>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</si>
  <si>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</si>
  <si>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</si>
  <si>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</si>
  <si>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</si>
  <si>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</si>
  <si>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</si>
  <si>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</si>
  <si>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</si>
  <si>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</si>
  <si>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</si>
  <si>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</si>
  <si>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</si>
  <si>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</si>
  <si>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</si>
  <si>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</si>
  <si>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</si>
  <si>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</si>
  <si>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</si>
  <si>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</si>
  <si>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</si>
  <si>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</si>
  <si>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</si>
  <si>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</si>
  <si>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</si>
  <si>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</si>
  <si>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</si>
  <si>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</si>
  <si>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</si>
  <si>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</si>
  <si>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</si>
  <si>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</si>
  <si>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</si>
  <si>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</si>
  <si>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</si>
  <si>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</si>
  <si>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</si>
  <si>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</si>
  <si>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</si>
  <si>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</si>
  <si>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</si>
  <si>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</si>
  <si>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</si>
  <si>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</si>
  <si>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</si>
  <si>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</si>
  <si>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</si>
  <si>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</si>
  <si>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</si>
  <si>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</si>
  <si>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</si>
  <si>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</si>
  <si>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</si>
  <si>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</si>
  <si>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</si>
  <si>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</si>
  <si>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</si>
  <si>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</si>
  <si>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</si>
  <si>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</si>
  <si>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</si>
  <si>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</si>
  <si>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</si>
  <si>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</si>
  <si>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</si>
  <si>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</si>
  <si>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</si>
  <si>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</si>
  <si>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</si>
  <si>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</si>
  <si>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</si>
  <si>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</si>
  <si>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</si>
  <si>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</si>
  <si>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</si>
  <si>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</si>
  <si>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</si>
  <si>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</si>
  <si>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</si>
  <si>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</si>
  <si>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</si>
  <si>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</si>
  <si>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</si>
  <si>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</si>
  <si>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</si>
  <si>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</si>
  <si>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</si>
  <si>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</si>
  <si>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</si>
  <si>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</si>
  <si>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</si>
  <si>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</si>
  <si>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</si>
  <si>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</si>
  <si>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</si>
  <si>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</si>
  <si>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</si>
  <si>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</si>
  <si>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</si>
  <si>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</si>
  <si>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</si>
  <si>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</si>
  <si>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</si>
  <si>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</si>
  <si>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</si>
  <si>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</si>
  <si>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</si>
  <si>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</si>
  <si>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</si>
  <si>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</si>
  <si>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</si>
  <si>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</si>
  <si>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</si>
  <si>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</si>
  <si>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</si>
  <si>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</si>
  <si>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</si>
  <si>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</si>
  <si>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</si>
  <si>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</si>
  <si>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</si>
  <si>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</si>
  <si>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</si>
  <si>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</si>
  <si>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</si>
  <si>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</si>
  <si>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</si>
  <si>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</si>
  <si>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</si>
  <si>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</si>
  <si>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</si>
  <si>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</si>
  <si>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</si>
  <si>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</si>
  <si>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</si>
  <si>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</si>
  <si>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</si>
  <si>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</si>
  <si>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</si>
  <si>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</si>
  <si>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</si>
  <si>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</si>
  <si>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</si>
  <si>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</si>
  <si>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</si>
  <si>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</si>
  <si>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</si>
  <si>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</si>
  <si>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</si>
  <si>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</si>
  <si>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</si>
  <si>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</si>
  <si>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</si>
  <si>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</si>
  <si>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</si>
  <si>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</si>
  <si>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</si>
  <si>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</si>
  <si>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</si>
  <si>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</si>
  <si>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</si>
  <si>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</si>
  <si>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</si>
  <si>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</si>
  <si>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</si>
  <si>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</si>
  <si>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</si>
  <si>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</si>
  <si>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</si>
  <si>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</si>
  <si>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</si>
  <si>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</si>
  <si>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</si>
  <si>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</si>
  <si>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</si>
  <si>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</si>
  <si>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</si>
  <si>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</si>
  <si>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</si>
  <si>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</si>
  <si>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</si>
  <si>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</si>
  <si>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</si>
  <si>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</si>
  <si>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</si>
  <si>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</si>
  <si>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</si>
  <si>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</si>
  <si>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</si>
  <si>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</si>
  <si>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</si>
  <si>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</si>
  <si>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</si>
  <si>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</si>
  <si>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</si>
  <si>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</si>
  <si>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</si>
  <si>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</si>
  <si>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</si>
  <si>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</si>
  <si>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</si>
  <si>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</si>
  <si>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</si>
  <si>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</si>
  <si>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</si>
  <si>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</si>
  <si>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</si>
  <si>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</si>
  <si>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</si>
  <si>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</si>
  <si>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</si>
  <si>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</si>
  <si>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</si>
  <si>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</si>
  <si>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</si>
  <si>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</si>
  <si>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</si>
  <si>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</si>
  <si>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</si>
  <si>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</si>
  <si>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</si>
  <si>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</si>
  <si>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</si>
  <si>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</si>
  <si>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</si>
  <si>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</si>
  <si>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</si>
  <si>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</si>
  <si>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</si>
  <si>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</si>
  <si>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</si>
  <si>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</si>
  <si>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</si>
  <si>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</si>
  <si>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</si>
  <si>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</si>
  <si>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</si>
  <si>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</si>
  <si>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</si>
  <si>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</si>
  <si>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</si>
  <si>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</si>
  <si>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</si>
  <si>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</si>
  <si>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</si>
  <si>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</si>
  <si>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</si>
  <si>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</si>
  <si>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</si>
  <si>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</si>
  <si>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</si>
  <si>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</si>
  <si>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</si>
  <si>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</si>
  <si>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</si>
  <si>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</si>
  <si>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</si>
  <si>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</si>
  <si>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</si>
  <si>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</si>
  <si>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</si>
  <si>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</si>
  <si>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</si>
  <si>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</si>
  <si>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</si>
  <si>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</si>
  <si>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</si>
  <si>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</si>
  <si>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</si>
  <si>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</si>
  <si>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</si>
  <si>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</si>
  <si>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</si>
  <si>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</si>
  <si>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</si>
  <si>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</si>
  <si>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</si>
  <si>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</si>
  <si>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</si>
  <si>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</si>
  <si>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</si>
  <si>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</si>
  <si>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</si>
  <si>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</si>
  <si>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</si>
  <si>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</si>
  <si>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</si>
  <si>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</si>
  <si>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</si>
  <si>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</si>
  <si>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</si>
  <si>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</si>
  <si>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</si>
  <si>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</si>
  <si>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</si>
  <si>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</si>
  <si>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</si>
  <si>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</si>
  <si>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</si>
  <si>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</si>
  <si>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</si>
  <si>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</si>
  <si>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</si>
  <si>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</si>
  <si>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</si>
  <si>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</si>
  <si>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</si>
  <si>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</si>
  <si>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</si>
  <si>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</si>
  <si>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</si>
  <si>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</si>
  <si>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</si>
  <si>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</si>
  <si>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</si>
  <si>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</si>
  <si>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</si>
  <si>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</si>
  <si>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</si>
  <si>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</si>
  <si>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</si>
  <si>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</si>
  <si>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</si>
  <si>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</si>
  <si>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</si>
  <si>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</si>
  <si>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</si>
  <si>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</si>
  <si>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</si>
  <si>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</si>
  <si>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</si>
  <si>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</si>
  <si>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</si>
  <si>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</si>
  <si>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</si>
  <si>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</si>
  <si>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</si>
  <si>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</si>
  <si>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</si>
  <si>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</si>
  <si>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</si>
  <si>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</si>
  <si>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</si>
  <si>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</si>
  <si>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</si>
  <si>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</si>
  <si>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</si>
  <si>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</si>
  <si>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</si>
  <si>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</si>
  <si>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</si>
  <si>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</si>
  <si>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</si>
  <si>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</si>
  <si>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</si>
  <si>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</si>
  <si>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</si>
  <si>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</si>
  <si>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</si>
  <si>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</si>
  <si>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</si>
  <si>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</si>
  <si>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</si>
  <si>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</si>
  <si>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</si>
  <si>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</si>
  <si>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</si>
  <si>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</si>
  <si>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</si>
  <si>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</si>
  <si>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</si>
  <si>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</si>
  <si>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</si>
  <si>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</si>
  <si>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</si>
  <si>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</si>
  <si>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</si>
  <si>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</si>
  <si>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</si>
  <si>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</si>
  <si>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</si>
  <si>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</si>
  <si>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</si>
  <si>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</si>
  <si>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</si>
  <si>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</si>
  <si>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</si>
  <si>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</si>
  <si>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</si>
  <si>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</si>
  <si>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</si>
  <si>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</si>
  <si>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</si>
  <si>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</si>
  <si>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</si>
  <si>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</si>
  <si>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</si>
  <si>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</si>
  <si>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</si>
  <si>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</si>
  <si>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</si>
  <si>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</si>
  <si>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</si>
  <si>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</si>
  <si>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</si>
  <si>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</si>
  <si>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</si>
  <si>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</si>
  <si>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</si>
  <si>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</si>
  <si>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</si>
  <si>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</si>
  <si>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</si>
  <si>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</si>
  <si>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</si>
  <si>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</si>
  <si>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</si>
  <si>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</si>
  <si>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</si>
  <si>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</si>
  <si>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</si>
  <si>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</si>
  <si>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</si>
  <si>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</si>
  <si>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</si>
  <si>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</si>
  <si>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</si>
  <si>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</si>
  <si>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</si>
  <si>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</si>
  <si>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</si>
  <si>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</si>
  <si>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</si>
  <si>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</si>
  <si>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</si>
  <si>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</si>
  <si>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</si>
  <si>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</si>
  <si>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</si>
  <si>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</si>
  <si>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</si>
  <si>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</si>
  <si>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</si>
  <si>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</si>
  <si>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</si>
  <si>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</si>
  <si>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</si>
  <si>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</si>
  <si>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</si>
  <si>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</si>
  <si>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</si>
  <si>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</si>
  <si>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</si>
  <si>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</si>
  <si>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</si>
  <si>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</si>
  <si>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</si>
  <si>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</si>
  <si>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</si>
  <si>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</si>
  <si>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</si>
  <si>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</si>
  <si>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</si>
  <si>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</si>
  <si>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</si>
  <si>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</si>
  <si>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</si>
  <si>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</si>
  <si>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</si>
  <si>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</si>
  <si>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</si>
  <si>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</si>
  <si>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</si>
  <si>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</si>
  <si>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</si>
  <si>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</si>
  <si>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</si>
  <si>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</si>
  <si>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</si>
  <si>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</si>
  <si>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</si>
  <si>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</si>
  <si>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</si>
  <si>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</si>
  <si>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</si>
  <si>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</si>
  <si>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</si>
  <si>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</si>
  <si>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</si>
  <si>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</si>
  <si>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</si>
  <si>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</si>
  <si>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</si>
  <si>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</si>
  <si>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</si>
  <si>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</si>
  <si>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</si>
  <si>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</si>
  <si>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</si>
  <si>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</si>
  <si>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</si>
  <si>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</si>
  <si>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</si>
  <si>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</si>
  <si>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</si>
  <si>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</si>
  <si>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</si>
  <si>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</si>
  <si>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</si>
  <si>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</si>
  <si>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</si>
  <si>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</si>
  <si>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</si>
  <si>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</si>
  <si>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</si>
  <si>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</si>
  <si>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</si>
  <si>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</si>
  <si>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</si>
  <si>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</si>
  <si>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</si>
  <si>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</si>
  <si>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</si>
  <si>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</si>
  <si>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</si>
  <si>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</si>
  <si>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</si>
  <si>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</si>
  <si>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</si>
  <si>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</si>
  <si>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</si>
  <si>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</si>
  <si>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</si>
  <si>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</si>
  <si>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</si>
  <si>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</si>
  <si>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</si>
  <si>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</si>
  <si>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</si>
  <si>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</si>
  <si>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</si>
  <si>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</si>
  <si>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</si>
  <si>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</si>
  <si>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</si>
  <si>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</si>
  <si>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</si>
  <si>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</si>
  <si>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</si>
  <si>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</si>
  <si>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</si>
  <si>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</si>
  <si>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</si>
  <si>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</si>
  <si>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</si>
  <si>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</si>
  <si>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</si>
  <si>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</si>
  <si>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</si>
  <si>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</si>
  <si>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</si>
  <si>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</si>
  <si>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</si>
  <si>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</si>
  <si>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</si>
  <si>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</si>
  <si>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</si>
  <si>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</si>
  <si>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</si>
  <si>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</si>
  <si>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</si>
  <si>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</si>
  <si>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</si>
  <si>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</si>
  <si>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</si>
  <si>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</si>
  <si>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</si>
  <si>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</si>
  <si>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</si>
  <si>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</si>
  <si>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</si>
  <si>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</si>
  <si>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</si>
  <si>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</si>
  <si>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</si>
  <si>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</si>
  <si>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</si>
  <si>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</si>
  <si>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</si>
  <si>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</si>
  <si>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</si>
  <si>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</si>
  <si>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</si>
  <si>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</si>
  <si>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</si>
  <si>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</si>
  <si>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</si>
  <si>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</si>
  <si>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</si>
  <si>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</si>
  <si>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</si>
  <si>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</si>
  <si>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</si>
  <si>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</si>
  <si>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</si>
  <si>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</si>
  <si>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</si>
  <si>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</si>
  <si>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</si>
  <si>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</si>
  <si>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</si>
  <si>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</si>
  <si>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</si>
  <si>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</si>
  <si>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</si>
  <si>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</si>
  <si>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</si>
  <si>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</si>
  <si>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</si>
  <si>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</si>
  <si>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</si>
  <si>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</si>
  <si>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</si>
  <si>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</si>
  <si>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</si>
  <si>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</si>
  <si>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</si>
  <si>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</si>
  <si>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</si>
  <si>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</si>
  <si>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</si>
  <si>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</si>
  <si>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</si>
  <si>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</si>
  <si>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</si>
  <si>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</si>
  <si>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</si>
  <si>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</si>
  <si>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</si>
  <si>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</si>
  <si>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</si>
  <si>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</si>
  <si>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</si>
  <si>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</si>
  <si>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</si>
  <si>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</si>
  <si>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</si>
  <si>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</si>
  <si>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</si>
  <si>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</si>
  <si>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</si>
  <si>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</si>
  <si>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</si>
  <si>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</si>
  <si>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</si>
  <si>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</si>
  <si>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</si>
  <si>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</si>
  <si>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</si>
  <si>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</si>
  <si>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</si>
  <si>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</si>
  <si>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</si>
  <si>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</si>
  <si>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</si>
  <si>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</si>
  <si>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</si>
  <si>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</si>
  <si>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</si>
  <si>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</si>
  <si>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</si>
  <si>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</si>
  <si>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</si>
  <si>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</si>
  <si>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</si>
  <si>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</si>
  <si>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</si>
  <si>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</si>
  <si>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</si>
  <si>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</si>
  <si>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</si>
  <si>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</si>
  <si>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</si>
  <si>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</si>
  <si>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</si>
  <si>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</si>
  <si>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</si>
  <si>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</si>
  <si>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</si>
  <si>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</si>
  <si>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</si>
  <si>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</si>
  <si>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</si>
  <si>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</si>
  <si>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</si>
  <si>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</si>
  <si>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</si>
  <si>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</si>
  <si>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</si>
  <si>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</si>
  <si>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</si>
  <si>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</si>
  <si>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</si>
  <si>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</si>
  <si>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</si>
  <si>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</si>
  <si>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</si>
  <si>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</si>
  <si>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</si>
  <si>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</si>
  <si>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</si>
  <si>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</si>
  <si>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</si>
  <si>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</si>
  <si>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</si>
  <si>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</si>
  <si>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</si>
  <si>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</si>
  <si>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</si>
  <si>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</si>
  <si>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</si>
  <si>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</si>
  <si>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</si>
  <si>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</si>
  <si>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</si>
  <si>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</si>
  <si>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</si>
  <si>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</si>
  <si>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</si>
  <si>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</si>
  <si>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</si>
  <si>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</si>
  <si>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</si>
  <si>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</si>
  <si>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</si>
  <si>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</si>
  <si>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</si>
  <si>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</si>
  <si>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</si>
  <si>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</si>
  <si>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</si>
  <si>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</si>
  <si>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</si>
  <si>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</si>
  <si>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</si>
  <si>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</si>
  <si>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</si>
  <si>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</si>
  <si>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</si>
  <si>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</si>
  <si>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</si>
  <si>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</si>
  <si>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</si>
  <si>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</si>
  <si>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</si>
  <si>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</si>
  <si>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</si>
  <si>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</si>
  <si>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</si>
  <si>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</si>
  <si>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</si>
  <si>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</si>
  <si>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</si>
  <si>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</si>
  <si>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</si>
  <si>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</si>
  <si>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</si>
  <si>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</si>
  <si>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</si>
  <si>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</si>
  <si>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</si>
  <si>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</si>
  <si>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</si>
  <si>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</si>
  <si>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</si>
  <si>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</si>
  <si>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</si>
  <si>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</si>
  <si>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</si>
  <si>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</si>
  <si>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</si>
  <si>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</si>
  <si>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</si>
  <si>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</si>
  <si>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</si>
  <si>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</si>
  <si>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</si>
  <si>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</si>
  <si>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</si>
  <si>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</si>
  <si>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</si>
  <si>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</si>
  <si>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</si>
  <si>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</si>
  <si>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</si>
  <si>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</si>
  <si>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</si>
  <si>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</si>
  <si>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</si>
  <si>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</si>
  <si>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</si>
  <si>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</si>
  <si>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</si>
  <si>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</si>
  <si>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</si>
  <si>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</si>
  <si>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</si>
  <si>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</si>
  <si>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</si>
  <si>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</si>
  <si>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</si>
  <si>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</si>
  <si>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</si>
  <si>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</si>
  <si>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</si>
  <si>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</si>
  <si>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</si>
  <si>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</si>
  <si>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</si>
  <si>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</si>
  <si>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</si>
  <si>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</si>
  <si>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</si>
  <si>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</si>
  <si>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</si>
  <si>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</si>
  <si>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</si>
  <si>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</si>
  <si>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</si>
  <si>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</si>
  <si>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</si>
  <si>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</si>
  <si>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</si>
  <si>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</si>
  <si>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</si>
  <si>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</si>
  <si>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</si>
  <si>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</si>
  <si>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</si>
  <si>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</si>
  <si>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</si>
  <si>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</si>
  <si>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</si>
  <si>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</si>
  <si>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</si>
  <si>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</si>
  <si>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</si>
  <si>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</si>
  <si>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</si>
  <si>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</si>
  <si>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</si>
  <si>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</si>
  <si>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</si>
  <si>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</si>
  <si>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</si>
  <si>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</si>
  <si>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</si>
  <si>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</si>
  <si>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</si>
  <si>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</si>
  <si>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</si>
  <si>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</si>
  <si>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</si>
  <si>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</si>
  <si>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</si>
  <si>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</si>
  <si>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</si>
  <si>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</si>
  <si>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</si>
  <si>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</si>
  <si>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</si>
  <si>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</si>
  <si>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</si>
  <si>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</si>
  <si>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</si>
  <si>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</si>
  <si>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</si>
  <si>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</si>
  <si>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</si>
  <si>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</si>
  <si>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</si>
  <si>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</si>
  <si>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</si>
  <si>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</si>
  <si>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</si>
  <si>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</si>
  <si>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</si>
  <si>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</si>
  <si>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</si>
  <si>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</si>
  <si>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</si>
  <si>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</si>
  <si>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</si>
  <si>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</si>
  <si>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</si>
  <si>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</si>
  <si>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</si>
  <si>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</si>
  <si>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</si>
  <si>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</si>
  <si>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</si>
  <si>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</si>
  <si>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</si>
  <si>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</si>
  <si>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</si>
  <si>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</si>
  <si>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</si>
  <si>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</si>
  <si>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</si>
  <si>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</si>
  <si>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</si>
  <si>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</si>
  <si>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</si>
  <si>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</si>
  <si>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</si>
  <si>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</si>
  <si>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</si>
  <si>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</si>
  <si>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</si>
  <si>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</si>
  <si>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</si>
  <si>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</si>
  <si>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</si>
  <si>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</si>
  <si>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</si>
  <si>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</si>
  <si>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</si>
  <si>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</si>
  <si>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</si>
  <si>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</si>
  <si>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</si>
  <si>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</si>
  <si>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</si>
  <si>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</si>
  <si>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</si>
  <si>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</si>
  <si>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</si>
  <si>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</si>
  <si>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</si>
  <si>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</si>
  <si>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</si>
  <si>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</si>
  <si>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</si>
  <si>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</si>
  <si>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</si>
  <si>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</si>
  <si>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</si>
  <si>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</si>
  <si>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</si>
  <si>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</si>
  <si>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</si>
  <si>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</si>
  <si>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</si>
  <si>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</si>
  <si>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</si>
  <si>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</si>
  <si>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</si>
  <si>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</si>
  <si>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</si>
  <si>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</si>
  <si>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</si>
  <si>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</si>
  <si>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</si>
  <si>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</si>
  <si>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</si>
  <si>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</si>
  <si>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</si>
  <si>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</si>
  <si>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</si>
  <si>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</si>
  <si>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</si>
  <si>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</si>
  <si>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</si>
  <si>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</si>
  <si>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</si>
  <si>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</si>
  <si>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</si>
  <si>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</si>
  <si>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</si>
  <si>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</si>
  <si>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</si>
  <si>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</si>
  <si>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</si>
  <si>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</si>
  <si>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</si>
  <si>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</si>
  <si>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</si>
  <si>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</si>
  <si>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</si>
  <si>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</si>
  <si>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</si>
  <si>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</si>
  <si>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</si>
  <si>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</si>
  <si>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</si>
  <si>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</si>
  <si>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</si>
  <si>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</si>
  <si>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</si>
  <si>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</si>
  <si>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</si>
  <si>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</si>
  <si>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</si>
  <si>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</si>
  <si>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</si>
  <si>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</si>
  <si>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</si>
  <si>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</si>
  <si>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</si>
  <si>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</si>
  <si>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</si>
  <si>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</si>
  <si>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</si>
  <si>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</si>
  <si>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</si>
  <si>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</si>
  <si>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</si>
  <si>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</si>
  <si>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</si>
  <si>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</si>
  <si>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</si>
  <si>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</si>
  <si>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</si>
  <si>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</si>
  <si>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</si>
  <si>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</si>
  <si>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</si>
  <si>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</si>
  <si>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</si>
  <si>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</si>
  <si>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</si>
  <si>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</si>
  <si>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</si>
  <si>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</si>
  <si>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</si>
  <si>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</si>
  <si>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</si>
  <si>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</si>
  <si>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</si>
  <si>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</si>
  <si>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</si>
  <si>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</si>
  <si>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</si>
  <si>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</si>
  <si>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</si>
  <si>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</si>
  <si>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</si>
  <si>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</si>
  <si>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</si>
  <si>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</si>
  <si>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</si>
  <si>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</si>
  <si>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</si>
  <si>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</si>
  <si>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</si>
  <si>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</si>
  <si>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</si>
  <si>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</si>
  <si>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</si>
  <si>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</si>
  <si>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</si>
  <si>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</si>
  <si>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</si>
  <si>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</si>
  <si>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</si>
  <si>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</si>
  <si>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</si>
  <si>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</si>
  <si>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</si>
  <si>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</si>
  <si>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</si>
  <si>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</si>
  <si>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</si>
  <si>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</si>
  <si>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</si>
  <si>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</si>
  <si>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</si>
  <si>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</si>
  <si>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</si>
  <si>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</si>
  <si>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</si>
  <si>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</si>
  <si>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</si>
  <si>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</si>
  <si>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</si>
  <si>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</si>
  <si>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</si>
  <si>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</si>
  <si>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</si>
  <si>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</si>
  <si>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</si>
  <si>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</si>
  <si>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</si>
  <si>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</si>
  <si>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</si>
  <si>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</si>
  <si>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</si>
  <si>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</si>
  <si>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</si>
  <si>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</si>
  <si>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</si>
  <si>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</si>
  <si>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</si>
  <si>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</si>
  <si>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</si>
  <si>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</si>
  <si>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</si>
  <si>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</si>
  <si>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</si>
  <si>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</si>
  <si>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</si>
  <si>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</si>
  <si>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</si>
  <si>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</si>
  <si>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</si>
  <si>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</si>
  <si>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</si>
  <si>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</si>
  <si>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</si>
  <si>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</si>
  <si>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</si>
  <si>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</si>
  <si>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</si>
  <si>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</si>
  <si>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</si>
  <si>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</si>
  <si>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</si>
  <si>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</si>
  <si>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</si>
  <si>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</si>
  <si>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</si>
  <si>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</si>
  <si>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</si>
  <si>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</si>
  <si>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</si>
  <si>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</si>
  <si>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</si>
  <si>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</si>
  <si>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</si>
  <si>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</si>
  <si>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</si>
  <si>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</si>
  <si>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</si>
  <si>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</si>
  <si>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</si>
  <si>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</si>
  <si>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</si>
  <si>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</si>
  <si>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</si>
  <si>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</si>
  <si>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</si>
  <si>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</si>
  <si>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</si>
  <si>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</si>
  <si>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</si>
  <si>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</si>
  <si>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</si>
  <si>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</si>
  <si>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</si>
  <si>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</si>
  <si>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</si>
  <si>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</si>
  <si>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</si>
  <si>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</si>
  <si>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</si>
  <si>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</si>
  <si>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</si>
  <si>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</si>
  <si>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</si>
  <si>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</si>
  <si>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</si>
  <si>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</si>
  <si>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</si>
  <si>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</si>
  <si>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</si>
  <si>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</si>
  <si>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</si>
  <si>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</si>
  <si>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</si>
  <si>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</si>
  <si>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</si>
  <si>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</si>
  <si>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</si>
  <si>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</si>
  <si>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</si>
  <si>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</si>
  <si>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</si>
  <si>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</si>
  <si>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</si>
  <si>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</si>
  <si>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</si>
  <si>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</si>
  <si>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</si>
  <si>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</si>
  <si>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</si>
  <si>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</si>
  <si>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</si>
  <si>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</si>
  <si>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</si>
  <si>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</si>
  <si>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</si>
  <si>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</si>
  <si>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</si>
  <si>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</si>
  <si>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</si>
  <si>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</si>
  <si>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</si>
  <si>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</si>
  <si>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</si>
  <si>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</si>
  <si>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</si>
  <si>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</si>
  <si>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</si>
  <si>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</si>
  <si>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</si>
  <si>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</si>
  <si>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</si>
  <si>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</si>
  <si>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</si>
  <si>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</si>
  <si>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</si>
  <si>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</si>
  <si>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</si>
  <si>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</si>
  <si>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</si>
  <si>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</si>
  <si>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</si>
  <si>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</si>
  <si>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</si>
  <si>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</si>
  <si>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</si>
  <si>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</si>
  <si>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</si>
  <si>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</si>
  <si>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</si>
  <si>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</si>
  <si>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</si>
  <si>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</si>
  <si>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</si>
  <si>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</si>
  <si>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</si>
  <si>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</si>
  <si>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</si>
  <si>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</si>
  <si>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</si>
  <si>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</si>
  <si>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</si>
  <si>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</si>
  <si>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</si>
  <si>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</si>
  <si>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</si>
  <si>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</si>
  <si>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</si>
  <si>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</si>
  <si>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</si>
  <si>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</si>
  <si>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</si>
  <si>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</si>
  <si>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</si>
  <si>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</si>
  <si>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</si>
  <si>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</si>
  <si>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</si>
  <si>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</si>
  <si>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</si>
  <si>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</si>
  <si>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</si>
  <si>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</si>
  <si>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</si>
  <si>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</si>
  <si>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</si>
  <si>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</si>
  <si>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</si>
  <si>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</si>
  <si>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</si>
  <si>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</si>
  <si>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</si>
  <si>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</si>
  <si>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</si>
  <si>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</si>
  <si>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</si>
  <si>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</si>
  <si>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</si>
  <si>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</si>
  <si>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</si>
  <si>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</si>
  <si>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</si>
  <si>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</si>
  <si>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</si>
  <si>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</si>
  <si>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</si>
  <si>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</si>
  <si>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</si>
  <si>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</si>
  <si>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</si>
  <si>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</si>
  <si>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</si>
  <si>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</si>
  <si>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</si>
  <si>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</si>
  <si>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</si>
  <si>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</si>
  <si>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</si>
  <si>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</si>
  <si>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</si>
  <si>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</si>
  <si>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</si>
  <si>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</si>
  <si>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</si>
  <si>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</si>
  <si>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</si>
  <si>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</si>
  <si>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</si>
  <si>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</si>
  <si>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</si>
  <si>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</si>
  <si>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</si>
  <si>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</si>
  <si>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</si>
  <si>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</si>
  <si>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</si>
  <si>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</si>
  <si>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</si>
  <si>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</si>
  <si>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</si>
  <si>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</si>
  <si>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</si>
  <si>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</si>
  <si>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</si>
  <si>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</si>
  <si>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</si>
  <si>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</si>
  <si>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</si>
  <si>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</si>
  <si>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</si>
  <si>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</si>
  <si>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</si>
  <si>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</si>
  <si>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</si>
  <si>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</si>
  <si>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</si>
  <si>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</si>
  <si>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</si>
  <si>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</si>
  <si>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</si>
  <si>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</si>
  <si>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</si>
  <si>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</si>
  <si>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</si>
  <si>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</si>
  <si>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</si>
  <si>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</si>
  <si>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</si>
  <si>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</si>
  <si>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</si>
  <si>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</si>
  <si>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</si>
  <si>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</si>
  <si>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</si>
  <si>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</si>
  <si>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</si>
  <si>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</si>
  <si>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</si>
  <si>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</si>
  <si>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</si>
  <si>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</si>
  <si>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</si>
  <si>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</si>
  <si>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</si>
  <si>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</si>
  <si>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</si>
  <si>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</si>
  <si>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</si>
  <si>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</si>
  <si>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</si>
  <si>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</si>
  <si>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</si>
  <si>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</si>
  <si>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</si>
  <si>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</si>
  <si>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</si>
  <si>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</si>
  <si>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</si>
  <si>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</si>
  <si>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</si>
  <si>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</si>
  <si>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</si>
  <si>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</si>
  <si>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</si>
  <si>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</si>
  <si>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</si>
  <si>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</si>
  <si>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</si>
  <si>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</si>
  <si>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</si>
  <si>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</si>
  <si>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</si>
  <si>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</si>
  <si>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</si>
  <si>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</si>
  <si>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</si>
  <si>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</si>
  <si>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</si>
  <si>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</si>
  <si>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</si>
  <si>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</si>
  <si>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</si>
  <si>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</si>
  <si>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</si>
  <si>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</si>
  <si>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</si>
  <si>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</si>
  <si>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</si>
  <si>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</si>
  <si>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</si>
  <si>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</si>
  <si>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</si>
  <si>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</si>
  <si>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</si>
  <si>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</si>
  <si>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</si>
  <si>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</si>
  <si>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</si>
  <si>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</si>
  <si>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</si>
  <si>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</si>
  <si>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</si>
  <si>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</si>
  <si>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</si>
  <si>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</si>
  <si>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</si>
  <si>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</si>
  <si>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</si>
  <si>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</si>
  <si>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</si>
  <si>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</si>
  <si>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</si>
  <si>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</si>
  <si>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</si>
  <si>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</si>
  <si>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</si>
  <si>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</si>
  <si>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</si>
  <si>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</si>
  <si>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</si>
  <si>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</si>
  <si>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</si>
  <si>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</si>
  <si>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</si>
  <si>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</si>
  <si>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</si>
  <si>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</si>
  <si>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</si>
  <si>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</si>
  <si>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</si>
  <si>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</si>
  <si>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</si>
  <si>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</si>
  <si>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</si>
  <si>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</si>
  <si>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</si>
  <si>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</si>
  <si>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</si>
  <si>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</si>
  <si>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</si>
  <si>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</si>
  <si>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</si>
  <si>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</si>
  <si>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</si>
  <si>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</si>
  <si>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</si>
  <si>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</si>
  <si>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</si>
  <si>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</si>
  <si>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</si>
  <si>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</si>
  <si>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</si>
  <si>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</si>
  <si>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</si>
  <si>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</si>
  <si>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</si>
  <si>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</si>
  <si>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</si>
  <si>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</si>
  <si>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</si>
  <si>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</si>
  <si>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</si>
  <si>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</si>
  <si>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</si>
  <si>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</si>
  <si>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</si>
  <si>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</si>
  <si>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</si>
  <si>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</si>
  <si>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</si>
  <si>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</si>
  <si>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</si>
  <si>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</si>
  <si>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</si>
  <si>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</si>
  <si>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</si>
  <si>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</si>
  <si>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</si>
  <si>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</si>
  <si>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</si>
  <si>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</si>
  <si>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</si>
  <si>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</si>
  <si>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</si>
  <si>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</si>
  <si>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</si>
  <si>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</si>
  <si>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</si>
  <si>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</si>
  <si>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</si>
  <si>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</si>
  <si>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</si>
  <si>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</si>
  <si>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</si>
  <si>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</si>
  <si>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</si>
  <si>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</si>
  <si>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</si>
  <si>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</si>
  <si>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</si>
  <si>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</si>
  <si>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</si>
  <si>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</si>
  <si>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</si>
  <si>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</si>
  <si>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</si>
  <si>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</si>
  <si>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</si>
  <si>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</si>
  <si>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</si>
  <si>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</si>
  <si>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</si>
  <si>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</si>
  <si>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</si>
  <si>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</si>
  <si>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</si>
  <si>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</si>
  <si>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</si>
  <si>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</si>
  <si>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</si>
  <si>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</si>
  <si>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</si>
  <si>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</si>
  <si>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</si>
  <si>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</si>
  <si>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</si>
  <si>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</si>
  <si>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</si>
  <si>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</si>
  <si>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</si>
  <si>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</si>
  <si>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</si>
  <si>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</si>
  <si>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</si>
  <si>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</si>
  <si>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</si>
  <si>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</si>
  <si>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</si>
  <si>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</si>
  <si>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</si>
  <si>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</si>
  <si>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</si>
  <si>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</si>
  <si>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</si>
  <si>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</si>
  <si>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</si>
  <si>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</si>
  <si>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</si>
  <si>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</si>
  <si>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</si>
  <si>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</si>
  <si>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</si>
  <si>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</si>
  <si>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</si>
  <si>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</si>
  <si>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</si>
  <si>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</si>
  <si>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</si>
  <si>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</si>
  <si>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</si>
  <si>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</si>
  <si>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</si>
  <si>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</si>
  <si>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</si>
  <si>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</si>
  <si>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</si>
  <si>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</si>
  <si>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</si>
  <si>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</si>
  <si>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</si>
  <si>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</si>
  <si>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</si>
  <si>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</si>
  <si>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</si>
  <si>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</si>
  <si>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</si>
  <si>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</si>
  <si>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</si>
  <si>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</si>
  <si>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</si>
  <si>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</si>
  <si>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</si>
  <si>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</si>
  <si>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</si>
  <si>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</si>
  <si>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</si>
  <si>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</si>
  <si>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</si>
  <si>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</si>
  <si>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</si>
  <si>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</si>
  <si>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</si>
  <si>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</si>
  <si>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</si>
  <si>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</si>
  <si>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</si>
  <si>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</si>
  <si>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</si>
  <si>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</si>
  <si>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</si>
  <si>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</si>
  <si>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</si>
  <si>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</si>
  <si>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</si>
  <si>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</si>
  <si>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</si>
  <si>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</si>
  <si>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</si>
  <si>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</si>
  <si>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</si>
  <si>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</si>
  <si>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</si>
  <si>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</si>
  <si>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</si>
  <si>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</si>
  <si>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</si>
  <si>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</si>
  <si>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</si>
  <si>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</si>
  <si>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</si>
  <si>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</si>
  <si>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</si>
  <si>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</si>
  <si>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</si>
  <si>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</si>
  <si>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</si>
  <si>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</si>
  <si>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</si>
  <si>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</si>
  <si>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</si>
  <si>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</si>
  <si>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</si>
  <si>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</si>
  <si>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</si>
  <si>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</si>
  <si>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</si>
  <si>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</si>
  <si>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</si>
  <si>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</si>
  <si>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</si>
  <si>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</si>
  <si>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</si>
  <si>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</si>
  <si>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</si>
  <si>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</si>
  <si>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</si>
  <si>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</si>
  <si>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</si>
  <si>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</si>
  <si>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</si>
  <si>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</si>
  <si>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</si>
  <si>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</si>
  <si>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</si>
  <si>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</si>
  <si>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</si>
  <si>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</si>
  <si>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</si>
  <si>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</si>
  <si>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</si>
  <si>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</si>
  <si>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</si>
  <si>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</si>
  <si>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</si>
  <si>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</si>
  <si>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</si>
  <si>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</si>
  <si>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</si>
  <si>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</si>
  <si>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</si>
  <si>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</si>
  <si>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</si>
  <si>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</si>
  <si>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</si>
  <si>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</si>
  <si>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</si>
  <si>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</si>
  <si>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</si>
  <si>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</si>
  <si>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</si>
  <si>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</si>
  <si>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</si>
  <si>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</si>
  <si>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</si>
  <si>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</si>
  <si>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</si>
  <si>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</si>
  <si>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</si>
  <si>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</si>
  <si>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</si>
  <si>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</si>
  <si>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</si>
  <si>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</si>
  <si>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</si>
  <si>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</si>
  <si>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</si>
  <si>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</si>
  <si>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</si>
  <si>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</si>
  <si>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</si>
  <si>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</si>
  <si>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</si>
  <si>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</si>
  <si>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</si>
  <si>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</si>
  <si>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</si>
  <si>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</si>
  <si>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</si>
  <si>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</si>
  <si>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</si>
  <si>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</si>
  <si>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</si>
  <si>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</si>
  <si>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</si>
  <si>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</si>
  <si>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</si>
  <si>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</si>
  <si>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</si>
  <si>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</si>
  <si>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</si>
  <si>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</si>
  <si>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</si>
  <si>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</si>
  <si>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</si>
  <si>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</si>
  <si>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</si>
  <si>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</si>
  <si>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</si>
  <si>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</si>
  <si>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</si>
  <si>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</si>
  <si>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</si>
  <si>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</si>
  <si>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</si>
  <si>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</si>
  <si>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</si>
  <si>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</si>
  <si>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</si>
  <si>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</si>
  <si>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</si>
  <si>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</si>
  <si>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</si>
  <si>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</si>
  <si>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</si>
  <si>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</si>
  <si>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</si>
  <si>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</si>
  <si>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</si>
  <si>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</si>
  <si>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</si>
  <si>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</si>
  <si>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</si>
  <si>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</si>
  <si>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</si>
  <si>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</si>
  <si>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</si>
  <si>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</si>
  <si>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</si>
  <si>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</si>
  <si>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</si>
  <si>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</si>
  <si>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</si>
  <si>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</si>
  <si>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</si>
  <si>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</si>
  <si>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</si>
  <si>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</si>
  <si>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</si>
  <si>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</si>
  <si>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</si>
  <si>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</si>
  <si>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</si>
  <si>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</si>
  <si>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</si>
  <si>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</si>
  <si>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</si>
  <si>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</si>
  <si>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</si>
  <si>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</si>
  <si>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</si>
  <si>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</si>
  <si>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</si>
  <si>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</si>
  <si>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</si>
  <si>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</si>
  <si>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</si>
  <si>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</si>
  <si>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</si>
  <si>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</si>
  <si>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</si>
  <si>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</si>
  <si>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</si>
  <si>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</si>
  <si>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</si>
  <si>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</si>
  <si>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</si>
  <si>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</si>
  <si>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</si>
  <si>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</si>
  <si>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</si>
  <si>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</si>
  <si>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</si>
  <si>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</si>
  <si>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</si>
  <si>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</si>
  <si>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</si>
  <si>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</si>
  <si>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</si>
  <si>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</si>
  <si>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</si>
  <si>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</si>
  <si>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</si>
  <si>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</si>
  <si>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</si>
  <si>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</si>
  <si>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</si>
  <si>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</si>
  <si>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</si>
  <si>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</si>
  <si>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</si>
  <si>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</si>
  <si>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</si>
  <si>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</si>
  <si>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</si>
  <si>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</si>
  <si>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</si>
  <si>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</si>
  <si>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</si>
  <si>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</si>
  <si>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</si>
  <si>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</si>
  <si>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</si>
  <si>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</si>
  <si>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</si>
  <si>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</si>
  <si>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</si>
  <si>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</si>
  <si>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</si>
  <si>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</si>
  <si>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</si>
  <si>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</si>
  <si>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</si>
  <si>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</si>
  <si>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</si>
  <si>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</si>
  <si>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</si>
  <si>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</si>
  <si>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</si>
  <si>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</si>
  <si>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</si>
  <si>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</si>
  <si>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</si>
  <si>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</si>
  <si>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</si>
  <si>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</si>
  <si>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</si>
  <si>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</si>
  <si>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</si>
  <si>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</si>
  <si>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</si>
  <si>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</si>
  <si>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</si>
  <si>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</si>
  <si>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</si>
  <si>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</si>
  <si>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</si>
  <si>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</si>
  <si>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</si>
  <si>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</si>
  <si>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</si>
  <si>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</si>
  <si>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</si>
  <si>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</si>
  <si>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</si>
  <si>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</si>
  <si>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</si>
  <si>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</si>
  <si>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</si>
  <si>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</si>
  <si>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</si>
  <si>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</si>
  <si>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</si>
  <si>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</si>
  <si>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</si>
  <si>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</si>
  <si>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</si>
  <si>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</si>
  <si>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</si>
  <si>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</si>
  <si>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</si>
  <si>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</si>
  <si>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</si>
  <si>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</si>
  <si>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</si>
  <si>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</si>
  <si>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</si>
  <si>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</si>
  <si>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</si>
  <si>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</si>
  <si>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</si>
  <si>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</si>
  <si>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</si>
  <si>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</si>
  <si>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</si>
  <si>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</si>
  <si>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</si>
  <si>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</si>
  <si>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</si>
  <si>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</si>
  <si>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</si>
  <si>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</si>
  <si>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</si>
  <si>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</si>
  <si>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</si>
  <si>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</si>
  <si>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</si>
  <si>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</si>
  <si>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</si>
  <si>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</si>
  <si>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</si>
  <si>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</si>
  <si>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</si>
  <si>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</si>
  <si>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</si>
  <si>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</si>
  <si>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</si>
  <si>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</si>
  <si>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</si>
  <si>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</si>
  <si>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</si>
  <si>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</si>
  <si>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</si>
  <si>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</si>
  <si>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</si>
  <si>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</si>
  <si>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</si>
  <si>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</si>
  <si>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</si>
  <si>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</si>
  <si>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</si>
  <si>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</si>
  <si>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</si>
  <si>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</si>
  <si>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</si>
  <si>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</si>
  <si>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</si>
  <si>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</si>
  <si>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</si>
  <si>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</si>
  <si>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</si>
  <si>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</si>
  <si>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</si>
  <si>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</si>
  <si>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</si>
  <si>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</si>
  <si>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</si>
  <si>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</si>
  <si>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</si>
  <si>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</si>
  <si>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</si>
  <si>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</si>
  <si>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</si>
  <si>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</si>
  <si>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</si>
  <si>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</si>
  <si>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</si>
  <si>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</si>
  <si>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</si>
  <si>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</si>
  <si>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</si>
  <si>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</si>
  <si>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</si>
  <si>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</si>
  <si>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</si>
  <si>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</si>
  <si>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</si>
  <si>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</si>
  <si>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</si>
  <si>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</si>
  <si>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</si>
  <si>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</si>
  <si>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</si>
  <si>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</si>
  <si>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</si>
  <si>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</si>
  <si>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</si>
  <si>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</si>
  <si>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</si>
  <si>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</si>
  <si>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</si>
  <si>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</si>
  <si>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</si>
  <si>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</si>
  <si>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</si>
  <si>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</si>
  <si>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</si>
  <si>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</si>
  <si>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</si>
  <si>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</si>
  <si>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</si>
  <si>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</si>
  <si>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</si>
  <si>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</si>
  <si>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</si>
  <si>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</si>
  <si>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</si>
  <si>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</si>
  <si>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</si>
  <si>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</si>
  <si>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</si>
  <si>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</si>
  <si>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</si>
  <si>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</si>
  <si>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</si>
  <si>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</si>
  <si>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</si>
  <si>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</si>
  <si>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</si>
  <si>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</si>
  <si>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</si>
  <si>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</si>
  <si>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</si>
  <si>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</si>
  <si>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</si>
  <si>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</si>
  <si>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</si>
  <si>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</si>
  <si>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</si>
  <si>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</si>
  <si>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</si>
  <si>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</si>
  <si>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</si>
  <si>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</si>
  <si>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</si>
  <si>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</si>
  <si>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</si>
  <si>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</si>
  <si>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</si>
  <si>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</si>
  <si>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</si>
  <si>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</si>
  <si>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</si>
  <si>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</si>
  <si>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</si>
  <si>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</si>
  <si>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</si>
  <si>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</si>
  <si>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</si>
  <si>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</si>
  <si>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</si>
  <si>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</si>
  <si>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</si>
  <si>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</si>
  <si>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</si>
  <si>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</si>
  <si>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</si>
  <si>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</si>
  <si>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</si>
  <si>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</si>
  <si>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</si>
  <si>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</si>
  <si>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</si>
  <si>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</si>
  <si>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</si>
  <si>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</si>
  <si>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</si>
  <si>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</si>
  <si>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</si>
  <si>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</si>
  <si>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</si>
  <si>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</si>
  <si>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</si>
  <si>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</si>
  <si>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</si>
  <si>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</si>
  <si>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</si>
  <si>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</si>
  <si>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</si>
  <si>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</si>
  <si>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</si>
  <si>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</si>
  <si>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</si>
  <si>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</si>
  <si>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</si>
  <si>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</si>
  <si>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</si>
  <si>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</si>
  <si>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</si>
  <si>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</si>
  <si>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</si>
  <si>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</si>
  <si>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</si>
  <si>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</si>
  <si>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</si>
  <si>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</si>
  <si>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</si>
  <si>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</si>
  <si>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</si>
  <si>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</si>
  <si>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</si>
  <si>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</si>
  <si>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</si>
  <si>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</si>
  <si>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</si>
  <si>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</si>
  <si>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</si>
  <si>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</si>
  <si>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</si>
  <si>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</si>
  <si>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</si>
  <si>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</si>
  <si>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</si>
  <si>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</si>
  <si>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</si>
  <si>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</si>
  <si>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</si>
  <si>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</si>
  <si>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</si>
  <si>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</si>
  <si>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</si>
  <si>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</si>
  <si>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</si>
  <si>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</si>
  <si>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</si>
  <si>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</si>
  <si>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</si>
  <si>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</si>
  <si>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</si>
  <si>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</si>
  <si>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</si>
  <si>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</si>
  <si>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</si>
  <si>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</si>
  <si>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</si>
  <si>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</si>
  <si>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</si>
  <si>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</si>
  <si>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</si>
  <si>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</si>
  <si>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</si>
  <si>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</si>
  <si>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</si>
  <si>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</si>
  <si>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</si>
  <si>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</si>
  <si>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</si>
  <si>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</si>
  <si>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</si>
  <si>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</si>
  <si>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</si>
  <si>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</si>
  <si>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</si>
  <si>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</si>
  <si>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</si>
  <si>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</si>
  <si>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</si>
  <si>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</si>
  <si>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</si>
  <si>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</si>
  <si>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</si>
  <si>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</si>
  <si>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</si>
  <si>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</si>
  <si>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</si>
  <si>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</si>
  <si>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</si>
  <si>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</si>
  <si>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</si>
  <si>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</si>
  <si>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</si>
  <si>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</si>
  <si>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</si>
  <si>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</si>
  <si>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</si>
  <si>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</si>
  <si>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</si>
  <si>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</si>
  <si>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</si>
  <si>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</si>
  <si>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</si>
  <si>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</si>
  <si>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</si>
  <si>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</si>
  <si>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</si>
  <si>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</si>
  <si>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</si>
  <si>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</si>
  <si>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</si>
  <si>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</si>
  <si>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</si>
  <si>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</si>
  <si>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</si>
  <si>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</si>
  <si>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</si>
  <si>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</si>
  <si>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</si>
  <si>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</si>
  <si>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</si>
  <si>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</si>
  <si>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</si>
  <si>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</si>
  <si>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</si>
  <si>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</si>
  <si>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</si>
  <si>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</si>
  <si>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</si>
  <si>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</si>
  <si>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</si>
  <si>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</si>
  <si>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</si>
  <si>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</si>
  <si>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</si>
  <si>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</si>
  <si>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</si>
  <si>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</si>
  <si>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</si>
  <si>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</si>
  <si>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</si>
  <si>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</si>
  <si>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</si>
  <si>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</si>
  <si>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</si>
  <si>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</si>
  <si>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</si>
  <si>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</si>
  <si>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</si>
  <si>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</si>
  <si>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</si>
  <si>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</si>
  <si>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</si>
  <si>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</si>
  <si>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</si>
  <si>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</si>
  <si>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</si>
  <si>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</si>
  <si>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</si>
  <si>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</si>
  <si>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</si>
  <si>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</si>
  <si>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</si>
  <si>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</si>
  <si>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</si>
  <si>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</si>
  <si>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</si>
  <si>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</si>
  <si>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</si>
  <si>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</si>
  <si>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</si>
  <si>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</si>
  <si>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</si>
  <si>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</si>
  <si>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</si>
  <si>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</si>
  <si>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</si>
  <si>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</si>
  <si>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</si>
  <si>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</si>
  <si>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</si>
  <si>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</si>
  <si>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</si>
  <si>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</si>
  <si>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</si>
  <si>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</si>
  <si>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</si>
  <si>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</si>
  <si>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</si>
  <si>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</si>
  <si>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</si>
  <si>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</si>
  <si>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</si>
  <si>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</si>
  <si>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</si>
  <si>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</si>
  <si>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</si>
  <si>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</si>
  <si>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</si>
  <si>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</si>
  <si>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</si>
  <si>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</si>
  <si>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</si>
  <si>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</si>
  <si>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</si>
  <si>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</si>
  <si>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</si>
  <si>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</si>
  <si>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</si>
  <si>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</si>
  <si>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</si>
  <si>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</si>
  <si>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</si>
  <si>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</si>
  <si>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</si>
  <si>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</si>
  <si>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</si>
  <si>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</si>
  <si>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</si>
  <si>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</si>
  <si>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</si>
  <si>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</si>
  <si>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</si>
  <si>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</si>
  <si>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</si>
  <si>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</si>
  <si>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</si>
  <si>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</si>
  <si>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</si>
  <si>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</si>
  <si>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</si>
  <si>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</si>
  <si>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</si>
  <si>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</si>
  <si>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</si>
  <si>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</si>
  <si>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</si>
  <si>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</si>
  <si>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</si>
  <si>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</si>
  <si>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</si>
  <si>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</si>
  <si>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</si>
  <si>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</si>
  <si>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</si>
  <si>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</si>
  <si>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</si>
  <si>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</si>
  <si>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</si>
  <si>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</si>
  <si>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</si>
  <si>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</si>
  <si>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</si>
  <si>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</si>
  <si>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</si>
  <si>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</si>
  <si>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</si>
  <si>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</si>
  <si>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</si>
  <si>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</si>
  <si>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</si>
  <si>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</si>
  <si>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</si>
  <si>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</si>
  <si>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</si>
  <si>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</si>
  <si>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</si>
  <si>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</si>
  <si>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</si>
  <si>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</si>
  <si>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</si>
  <si>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</si>
  <si>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</si>
  <si>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</si>
  <si>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</si>
  <si>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</si>
  <si>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</si>
  <si>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</si>
  <si>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</si>
  <si>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</si>
  <si>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</si>
  <si>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</si>
  <si>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</si>
  <si>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</si>
  <si>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</si>
  <si>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</si>
  <si>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</si>
  <si>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</si>
  <si>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</si>
  <si>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</si>
  <si>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</si>
  <si>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</si>
  <si>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</si>
  <si>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</si>
  <si>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</si>
  <si>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</si>
  <si>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</si>
  <si>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</si>
  <si>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</si>
  <si>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</si>
  <si>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</si>
  <si>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</si>
  <si>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</si>
  <si>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</si>
  <si>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</si>
  <si>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</si>
  <si>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</si>
  <si>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</si>
  <si>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</si>
  <si>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</si>
  <si>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</si>
  <si>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</si>
  <si>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</si>
  <si>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</si>
  <si>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</si>
  <si>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</si>
  <si>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</si>
  <si>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</si>
  <si>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</si>
  <si>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</si>
  <si>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</si>
  <si>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</si>
  <si>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</si>
  <si>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</si>
  <si>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</si>
  <si>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</si>
  <si>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</si>
  <si>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</si>
  <si>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</si>
  <si>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</si>
  <si>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</si>
  <si>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</si>
  <si>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</si>
  <si>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</si>
  <si>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</si>
  <si>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</si>
  <si>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</si>
  <si>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</si>
  <si>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</si>
  <si>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</si>
  <si>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</si>
  <si>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</si>
  <si>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</si>
  <si>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</si>
  <si>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</si>
  <si>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</si>
  <si>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</si>
  <si>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</si>
  <si>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</si>
  <si>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</si>
  <si>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</si>
  <si>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</si>
  <si>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</si>
  <si>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</si>
  <si>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</si>
  <si>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</si>
  <si>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</si>
  <si>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</si>
  <si>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</si>
  <si>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</si>
  <si>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</si>
  <si>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</si>
  <si>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</si>
  <si>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</si>
  <si>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</si>
  <si>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</si>
  <si>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</si>
  <si>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</si>
  <si>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</si>
  <si>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</si>
  <si>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</si>
  <si>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</si>
  <si>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</si>
  <si>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</si>
  <si>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</si>
  <si>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</si>
  <si>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</si>
  <si>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</si>
  <si>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</si>
  <si>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</si>
  <si>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</si>
  <si>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</si>
  <si>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</si>
  <si>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</si>
  <si>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</si>
  <si>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</si>
  <si>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</si>
  <si>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</si>
  <si>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</si>
  <si>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</si>
  <si>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</si>
  <si>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</si>
  <si>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</si>
  <si>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</si>
  <si>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</si>
  <si>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</si>
  <si>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</si>
  <si>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</si>
  <si>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</si>
  <si>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</si>
  <si>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</si>
  <si>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</si>
  <si>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</si>
  <si>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</si>
  <si>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</si>
  <si>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</si>
  <si>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</si>
  <si>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</si>
  <si>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</si>
  <si>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</si>
  <si>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</si>
  <si>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</si>
  <si>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</si>
  <si>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</si>
  <si>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</si>
  <si>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</si>
  <si>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</si>
  <si>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</si>
  <si>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</si>
  <si>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</si>
  <si>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</si>
  <si>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</si>
  <si>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</si>
  <si>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</si>
  <si>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</si>
  <si>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</si>
  <si>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</si>
  <si>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</si>
  <si>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</si>
  <si>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</si>
  <si>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</si>
  <si>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</si>
  <si>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</si>
  <si>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</si>
  <si>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</si>
  <si>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</si>
  <si>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</si>
  <si>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</si>
  <si>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</si>
  <si>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</si>
  <si>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</si>
  <si>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</si>
  <si>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</si>
  <si>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</si>
  <si>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</si>
  <si>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</si>
  <si>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</si>
  <si>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</si>
  <si>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</si>
  <si>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</si>
  <si>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</si>
  <si>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</si>
  <si>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</si>
  <si>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</si>
  <si>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</si>
  <si>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</si>
  <si>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</si>
  <si>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</si>
  <si>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</si>
  <si>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</si>
  <si>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</si>
  <si>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</si>
  <si>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</si>
  <si>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</si>
  <si>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</si>
  <si>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</si>
  <si>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</si>
  <si>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</si>
  <si>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</si>
  <si>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</si>
  <si>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</si>
  <si>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</si>
  <si>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</si>
  <si>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</si>
  <si>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</si>
  <si>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</si>
  <si>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</si>
  <si>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</si>
  <si>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</si>
  <si>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</si>
  <si>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</si>
  <si>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</si>
  <si>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</si>
  <si>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</si>
  <si>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</si>
  <si>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</si>
  <si>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</si>
  <si>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</si>
  <si>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</si>
  <si>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</si>
  <si>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</si>
  <si>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</si>
  <si>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</si>
  <si>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</si>
  <si>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</si>
  <si>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</si>
  <si>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</si>
  <si>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</si>
  <si>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</si>
  <si>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</si>
  <si>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</si>
  <si>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</si>
  <si>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</si>
  <si>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</si>
  <si>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</si>
  <si>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</si>
  <si>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</si>
  <si>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</si>
  <si>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</si>
  <si>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</si>
  <si>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</si>
  <si>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</si>
  <si>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</si>
  <si>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</si>
  <si>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</si>
  <si>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</si>
  <si>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</si>
  <si>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</si>
  <si>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</si>
  <si>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</si>
  <si>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</si>
  <si>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</si>
  <si>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</si>
  <si>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</si>
  <si>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</si>
  <si>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</si>
  <si>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</si>
  <si>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</si>
  <si>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</si>
  <si>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</si>
  <si>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</si>
  <si>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</si>
  <si>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</si>
  <si>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</si>
  <si>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</si>
  <si>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</si>
  <si>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</si>
  <si>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</si>
  <si>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</si>
  <si>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</si>
  <si>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</si>
  <si>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</si>
  <si>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</si>
  <si>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</si>
  <si>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</si>
  <si>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</si>
  <si>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</si>
  <si>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</si>
  <si>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</si>
  <si>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</si>
  <si>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</si>
  <si>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</si>
  <si>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</si>
  <si>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</si>
  <si>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</si>
  <si>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</si>
  <si>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</si>
  <si>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</si>
  <si>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</si>
  <si>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</si>
  <si>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</si>
  <si>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</si>
  <si>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</si>
  <si>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</si>
  <si>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</si>
  <si>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</si>
  <si>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</si>
  <si>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</si>
  <si>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</si>
  <si>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</si>
  <si>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</si>
  <si>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</si>
  <si>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</si>
  <si>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</si>
  <si>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</si>
  <si>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</si>
  <si>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</si>
  <si>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</si>
  <si>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</si>
  <si>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</si>
  <si>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</si>
  <si>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</si>
  <si>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</si>
  <si>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</si>
  <si>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</si>
  <si>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</si>
  <si>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</si>
  <si>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</si>
  <si>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</si>
  <si>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</si>
  <si>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</si>
  <si>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</si>
  <si>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</si>
  <si>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</si>
  <si>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</si>
  <si>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</si>
  <si>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</si>
  <si>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</si>
  <si>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</si>
  <si>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</si>
  <si>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</si>
  <si>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</si>
  <si>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</si>
  <si>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</si>
  <si>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</si>
  <si>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</si>
  <si>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</si>
  <si>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</si>
  <si>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</si>
  <si>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</si>
  <si>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</si>
  <si>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</si>
  <si>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</si>
  <si>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</si>
  <si>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</si>
  <si>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</si>
  <si>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</si>
  <si>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</si>
  <si>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</si>
  <si>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</si>
  <si>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</si>
  <si>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</si>
  <si>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</si>
  <si>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</si>
  <si>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</si>
  <si>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</si>
  <si>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</si>
  <si>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</si>
  <si>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</si>
  <si>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</si>
  <si>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</si>
  <si>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</si>
  <si>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</si>
  <si>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</si>
  <si>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</si>
  <si>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</si>
  <si>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</si>
  <si>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</si>
  <si>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</si>
  <si>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</si>
  <si>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</si>
  <si>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</si>
  <si>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</si>
  <si>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</si>
  <si>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</si>
  <si>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</si>
  <si>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</si>
  <si>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</si>
  <si>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</si>
  <si>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</si>
  <si>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</si>
  <si>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</si>
  <si>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</si>
  <si>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</si>
  <si>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</si>
  <si>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</si>
  <si>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</si>
  <si>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</si>
  <si>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</si>
  <si>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</si>
  <si>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</si>
  <si>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</si>
  <si>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</si>
  <si>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</si>
  <si>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</si>
  <si>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</si>
  <si>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</si>
  <si>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</si>
  <si>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</si>
  <si>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</si>
  <si>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</si>
  <si>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</si>
  <si>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</si>
  <si>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</si>
  <si>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</si>
  <si>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</si>
  <si>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</si>
  <si>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</si>
  <si>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</si>
  <si>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</si>
  <si>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</si>
  <si>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</si>
  <si>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</si>
  <si>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</si>
  <si>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</si>
  <si>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</si>
  <si>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</si>
  <si>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</si>
  <si>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</si>
  <si>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</si>
  <si>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</si>
  <si>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</si>
  <si>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</si>
  <si>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</si>
  <si>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</si>
  <si>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</si>
  <si>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</si>
  <si>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</si>
  <si>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</si>
  <si>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</si>
  <si>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</si>
  <si>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</si>
  <si>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</si>
  <si>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</si>
  <si>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</si>
  <si>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</si>
  <si>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</si>
  <si>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</si>
  <si>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</si>
  <si>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</si>
  <si>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</si>
  <si>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</si>
  <si>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</si>
  <si>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</si>
  <si>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</si>
  <si>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</si>
  <si>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</si>
  <si>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</si>
  <si>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</si>
  <si>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</si>
  <si>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</si>
  <si>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</si>
  <si>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</si>
  <si>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</si>
  <si>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</si>
  <si>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</si>
  <si>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</si>
  <si>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</si>
  <si>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</si>
  <si>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</si>
  <si>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</si>
  <si>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</si>
  <si>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</si>
  <si>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</si>
  <si>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</si>
  <si>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</si>
  <si>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</si>
  <si>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</si>
  <si>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</si>
  <si>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</si>
  <si>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</si>
  <si>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</si>
  <si>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</si>
  <si>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</si>
  <si>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</si>
  <si>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</si>
  <si>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</si>
  <si>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</si>
  <si>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</si>
  <si>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</si>
  <si>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</si>
  <si>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</si>
  <si>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</si>
  <si>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</si>
  <si>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</si>
  <si>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</si>
  <si>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</si>
  <si>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</si>
  <si>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</si>
  <si>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</si>
  <si>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</si>
  <si>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</si>
  <si>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</si>
  <si>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</si>
  <si>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</si>
  <si>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</si>
  <si>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</si>
  <si>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</si>
  <si>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</si>
  <si>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</si>
  <si>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</si>
  <si>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</si>
  <si>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</si>
  <si>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</si>
  <si>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</si>
  <si>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</si>
  <si>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</si>
  <si>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</si>
  <si>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</si>
  <si>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</si>
  <si>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</si>
  <si>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</si>
  <si>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</si>
  <si>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</si>
  <si>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</si>
  <si>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</si>
  <si>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</si>
  <si>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</si>
  <si>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</si>
  <si>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</si>
  <si>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</si>
  <si>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</si>
  <si>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</si>
  <si>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</si>
  <si>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</si>
  <si>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</si>
  <si>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</si>
  <si>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</si>
  <si>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</si>
  <si>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</si>
  <si>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</si>
  <si>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</si>
  <si>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</si>
  <si>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</si>
  <si>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</si>
  <si>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</si>
  <si>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</si>
  <si>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</si>
  <si>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</si>
  <si>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</si>
  <si>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</si>
  <si>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</si>
  <si>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</si>
  <si>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</si>
  <si>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</si>
  <si>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</si>
  <si>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</si>
  <si>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</si>
  <si>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</si>
  <si>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</si>
  <si>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</si>
  <si>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</si>
  <si>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</si>
  <si>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</si>
  <si>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</si>
  <si>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</si>
  <si>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</si>
  <si>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</si>
  <si>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</si>
  <si>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</si>
  <si>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</si>
  <si>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</si>
  <si>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</si>
  <si>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</si>
  <si>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</si>
  <si>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</si>
  <si>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</si>
  <si>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</si>
  <si>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</si>
  <si>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</si>
  <si>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</si>
  <si>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</si>
  <si>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</si>
  <si>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</si>
  <si>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</si>
  <si>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</si>
  <si>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</si>
  <si>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</si>
  <si>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</si>
  <si>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</si>
  <si>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</si>
  <si>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</si>
  <si>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</si>
  <si>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</si>
  <si>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</si>
  <si>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</si>
  <si>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</si>
  <si>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</si>
  <si>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</si>
  <si>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</si>
  <si>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</si>
  <si>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</si>
  <si>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</si>
  <si>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</si>
  <si>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</si>
  <si>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</si>
  <si>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</si>
  <si>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</si>
  <si>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</si>
  <si>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</si>
  <si>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</si>
  <si>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</si>
  <si>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</si>
  <si>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</si>
  <si>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</si>
  <si>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</si>
  <si>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</si>
  <si>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</si>
  <si>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</si>
  <si>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</si>
  <si>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</si>
  <si>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</si>
  <si>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</si>
  <si>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</si>
  <si>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</si>
  <si>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</si>
  <si>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</si>
  <si>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</si>
  <si>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</si>
  <si>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</si>
  <si>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</si>
  <si>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</si>
  <si>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</si>
  <si>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</si>
  <si>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</si>
  <si>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</si>
  <si>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</si>
  <si>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</si>
  <si>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</si>
  <si>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</si>
  <si>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</si>
  <si>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</si>
  <si>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</si>
  <si>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</si>
  <si>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</si>
  <si>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</si>
  <si>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</si>
  <si>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</si>
  <si>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</si>
  <si>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</si>
  <si>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</si>
  <si>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</si>
  <si>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</si>
  <si>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</si>
  <si>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</si>
  <si>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</si>
  <si>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</si>
  <si>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</si>
  <si>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</si>
  <si>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</si>
  <si>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</si>
  <si>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</si>
  <si>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</si>
  <si>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</si>
  <si>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</si>
  <si>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</si>
  <si>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</si>
  <si>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</si>
  <si>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</si>
  <si>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</si>
  <si>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</si>
  <si>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</si>
  <si>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</si>
  <si>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</si>
  <si>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</si>
  <si>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</si>
  <si>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</si>
  <si>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</si>
  <si>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</si>
  <si>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</si>
  <si>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</si>
  <si>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</si>
  <si>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</si>
  <si>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</si>
  <si>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</si>
  <si>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</si>
  <si>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</si>
  <si>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</si>
  <si>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</si>
  <si>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</si>
  <si>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</si>
  <si>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</si>
  <si>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</si>
  <si>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</si>
  <si>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</si>
  <si>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</si>
  <si>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</si>
  <si>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</si>
  <si>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</si>
  <si>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</si>
  <si>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</si>
  <si>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</si>
  <si>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</si>
  <si>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</si>
  <si>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</si>
  <si>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</si>
  <si>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</si>
  <si>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</si>
  <si>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</si>
  <si>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</si>
  <si>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</si>
  <si>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</si>
  <si>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</si>
  <si>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</si>
  <si>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</si>
  <si>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</si>
  <si>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</si>
  <si>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</si>
  <si>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</si>
  <si>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</si>
  <si>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</si>
  <si>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</si>
  <si>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</si>
  <si>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</si>
  <si>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</si>
  <si>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</si>
  <si>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</si>
  <si>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</si>
  <si>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</si>
  <si>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</si>
  <si>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</si>
  <si>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</si>
  <si>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</si>
  <si>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</si>
  <si>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</si>
  <si>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</si>
  <si>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</si>
  <si>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</si>
  <si>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</si>
  <si>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</si>
  <si>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</si>
  <si>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</si>
  <si>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</si>
  <si>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</si>
  <si>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</si>
  <si>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</si>
  <si>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</si>
  <si>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</si>
  <si>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</si>
  <si>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</si>
  <si>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</si>
  <si>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</si>
  <si>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</si>
  <si>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</si>
  <si>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</si>
  <si>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</si>
  <si>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</si>
  <si>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</si>
  <si>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</si>
  <si>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</si>
  <si>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</si>
  <si>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</si>
  <si>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</si>
  <si>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</si>
  <si>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</si>
  <si>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</si>
  <si>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</si>
  <si>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</si>
  <si>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</si>
  <si>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</si>
  <si>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</si>
  <si>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</si>
  <si>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</si>
  <si>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</si>
  <si>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</si>
  <si>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</si>
  <si>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</si>
  <si>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</si>
  <si>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</si>
  <si>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</si>
  <si>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</si>
  <si>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</si>
  <si>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</si>
  <si>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</si>
  <si>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</si>
  <si>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</si>
  <si>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</si>
  <si>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</si>
  <si>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</si>
  <si>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</si>
  <si>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</si>
  <si>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</si>
  <si>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</si>
  <si>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</si>
  <si>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</si>
  <si>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</si>
  <si>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</si>
  <si>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</si>
  <si>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</si>
  <si>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</si>
  <si>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</si>
  <si>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</si>
  <si>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</si>
  <si>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</si>
  <si>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</si>
  <si>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</si>
  <si>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</si>
  <si>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</si>
  <si>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</si>
  <si>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</si>
  <si>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</si>
  <si>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</si>
  <si>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</si>
  <si>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</si>
  <si>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</si>
  <si>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</si>
  <si>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</si>
  <si>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</si>
  <si>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</si>
  <si>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</si>
  <si>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</si>
  <si>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</si>
  <si>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</si>
  <si>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</si>
  <si>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</si>
  <si>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</si>
  <si>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</si>
  <si>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</si>
  <si>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</si>
  <si>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</si>
  <si>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</si>
  <si>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</si>
  <si>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</si>
  <si>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</si>
  <si>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</si>
  <si>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</si>
  <si>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</si>
  <si>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</si>
  <si>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</si>
  <si>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</si>
  <si>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</si>
  <si>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</si>
  <si>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</si>
  <si>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</si>
  <si>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</si>
  <si>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</si>
  <si>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</si>
  <si>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</si>
  <si>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</si>
  <si>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</si>
  <si>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</si>
  <si>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</si>
  <si>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</si>
  <si>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</si>
  <si>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</si>
  <si>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</si>
  <si>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</si>
  <si>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</si>
  <si>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</si>
  <si>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</si>
  <si>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</si>
  <si>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</si>
  <si>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</si>
  <si>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</si>
  <si>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</si>
  <si>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</si>
  <si>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</si>
  <si>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</si>
  <si>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</si>
  <si>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</si>
  <si>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</si>
  <si>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</si>
  <si>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</si>
  <si>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</si>
  <si>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</si>
  <si>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</si>
  <si>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</si>
  <si>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</si>
  <si>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</si>
  <si>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</si>
  <si>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</si>
  <si>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</si>
  <si>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</si>
  <si>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</si>
  <si>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</si>
  <si>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</si>
  <si>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</si>
  <si>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</si>
  <si>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</si>
  <si>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</si>
  <si>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</si>
  <si>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</si>
  <si>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</si>
  <si>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</si>
  <si>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</si>
  <si>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</si>
  <si>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</si>
  <si>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</si>
  <si>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</si>
  <si>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</si>
  <si>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</si>
  <si>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</si>
  <si>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</si>
  <si>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</si>
  <si>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</si>
  <si>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</si>
  <si>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</si>
  <si>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</si>
  <si>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</si>
  <si>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</si>
  <si>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</si>
  <si>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</si>
  <si>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</si>
  <si>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</si>
  <si>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</si>
  <si>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</si>
  <si>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</si>
  <si>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</si>
  <si>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</si>
  <si>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</si>
  <si>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</si>
  <si>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</si>
  <si>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</si>
  <si>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</si>
  <si>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</si>
  <si>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</si>
  <si>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</si>
  <si>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</si>
  <si>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</si>
  <si>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</si>
  <si>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</si>
  <si>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</si>
  <si>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</si>
  <si>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</si>
  <si>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</si>
  <si>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</si>
  <si>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</si>
  <si>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</si>
  <si>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</si>
  <si>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</si>
  <si>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</si>
  <si>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</si>
  <si>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</si>
  <si>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</si>
  <si>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</si>
  <si>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</si>
  <si>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</si>
  <si>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</si>
  <si>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</si>
  <si>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</si>
  <si>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</si>
  <si>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</si>
  <si>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</si>
  <si>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</si>
  <si>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</si>
  <si>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</si>
  <si>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</si>
  <si>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</si>
  <si>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</si>
  <si>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</si>
  <si>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</si>
  <si>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</si>
  <si>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</si>
  <si>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</si>
  <si>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</si>
  <si>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</si>
  <si>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</si>
  <si>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</si>
  <si>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</si>
  <si>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</si>
  <si>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</si>
  <si>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</si>
  <si>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</si>
  <si>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</si>
  <si>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</si>
  <si>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</si>
  <si>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</si>
  <si>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</si>
  <si>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</si>
  <si>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</si>
  <si>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</si>
  <si>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</si>
  <si>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</si>
  <si>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</si>
  <si>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</si>
  <si>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</si>
  <si>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</si>
  <si>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</si>
  <si>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</si>
  <si>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</si>
  <si>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</si>
  <si>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</si>
  <si>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</si>
  <si>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</si>
  <si>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</si>
  <si>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</si>
  <si>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</si>
  <si>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</si>
  <si>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</si>
  <si>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</si>
  <si>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</si>
  <si>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</si>
  <si>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</si>
  <si>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</si>
  <si>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</si>
  <si>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</si>
  <si>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</si>
  <si>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</si>
  <si>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</si>
  <si>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</si>
  <si>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</si>
  <si>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</si>
  <si>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</si>
  <si>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</si>
  <si>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</si>
  <si>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</si>
  <si>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</si>
  <si>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</si>
  <si>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</si>
  <si>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</si>
  <si>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</si>
  <si>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</si>
  <si>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</si>
  <si>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</si>
  <si>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</si>
  <si>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</si>
  <si>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</si>
  <si>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</si>
  <si>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</si>
  <si>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</si>
  <si>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</si>
  <si>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</si>
  <si>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</si>
  <si>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</si>
  <si>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</si>
  <si>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</si>
  <si>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</si>
  <si>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</si>
  <si>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</si>
  <si>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</si>
  <si>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</si>
  <si>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</si>
  <si>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</si>
  <si>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</si>
  <si>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</si>
  <si>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</si>
  <si>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</si>
  <si>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</si>
  <si>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</si>
  <si>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</si>
  <si>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</si>
  <si>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</si>
  <si>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</si>
  <si>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</si>
  <si>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</si>
  <si>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</si>
  <si>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</si>
  <si>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</si>
  <si>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</si>
  <si>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</si>
  <si>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</si>
  <si>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</si>
  <si>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</si>
  <si>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</si>
  <si>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</si>
  <si>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</si>
  <si>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</si>
  <si>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</si>
  <si>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</si>
  <si>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</si>
  <si>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</si>
  <si>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</si>
  <si>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</si>
  <si>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</si>
  <si>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</si>
  <si>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</si>
  <si>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</si>
  <si>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</si>
  <si>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</si>
  <si>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</si>
  <si>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</si>
  <si>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</si>
  <si>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</si>
  <si>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</si>
  <si>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</si>
  <si>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</si>
  <si>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</si>
  <si>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</si>
  <si>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</si>
  <si>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</si>
  <si>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</si>
  <si>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</si>
  <si>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</si>
  <si>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</si>
  <si>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</si>
  <si>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</si>
  <si>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</si>
  <si>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</si>
  <si>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</si>
  <si>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</si>
  <si>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</si>
  <si>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</si>
  <si>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</si>
  <si>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</si>
  <si>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</si>
  <si>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</si>
  <si>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</si>
  <si>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</si>
  <si>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</si>
  <si>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</si>
  <si>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</si>
  <si>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</si>
  <si>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</si>
  <si>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</si>
  <si>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</si>
  <si>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</si>
  <si>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</si>
  <si>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</si>
  <si>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</si>
  <si>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</si>
  <si>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</si>
  <si>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</si>
  <si>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</si>
  <si>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</si>
  <si>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</si>
  <si>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</si>
  <si>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</si>
  <si>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</si>
  <si>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</si>
  <si>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</si>
  <si>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</si>
  <si>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</si>
  <si>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</si>
  <si>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</si>
  <si>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</si>
  <si>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</si>
  <si>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</si>
  <si>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</si>
  <si>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</si>
  <si>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</si>
  <si>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</si>
  <si>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</si>
  <si>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</si>
  <si>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</si>
  <si>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</si>
  <si>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</si>
  <si>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</si>
  <si>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</si>
  <si>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</si>
  <si>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</si>
  <si>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</si>
  <si>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</si>
  <si>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</si>
  <si>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</si>
  <si>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</si>
  <si>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</si>
  <si>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</si>
  <si>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</si>
  <si>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</si>
  <si>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</si>
  <si>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</si>
  <si>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</si>
  <si>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</si>
  <si>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</si>
  <si>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</si>
  <si>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</si>
  <si>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</si>
  <si>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</si>
  <si>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</si>
  <si>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</si>
  <si>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</si>
  <si>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</si>
  <si>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</si>
  <si>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</si>
  <si>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</si>
  <si>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</si>
  <si>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</si>
  <si>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</si>
  <si>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</si>
  <si>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</si>
  <si>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</si>
  <si>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</si>
  <si>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</si>
  <si>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</si>
  <si>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</si>
  <si>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</si>
  <si>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</si>
  <si>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</si>
  <si>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</si>
  <si>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</si>
  <si>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</si>
  <si>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</si>
  <si>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</si>
  <si>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</si>
  <si>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</si>
  <si>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</si>
  <si>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</si>
  <si>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</si>
  <si>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</si>
  <si>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</si>
  <si>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</si>
  <si>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</si>
  <si>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</si>
  <si>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</si>
  <si>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</si>
  <si>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</si>
  <si>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</si>
  <si>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</si>
  <si>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</si>
  <si>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</si>
  <si>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</si>
  <si>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</si>
  <si>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</si>
  <si>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</si>
  <si>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</si>
  <si>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</si>
  <si>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</si>
  <si>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</si>
  <si>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</si>
  <si>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</si>
  <si>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</si>
  <si>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</si>
  <si>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</si>
  <si>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</si>
  <si>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</si>
  <si>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</si>
  <si>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</si>
  <si>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</si>
  <si>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</si>
  <si>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</si>
  <si>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</si>
  <si>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</si>
  <si>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</si>
  <si>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</si>
  <si>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</si>
  <si>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</si>
  <si>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</si>
  <si>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</si>
  <si>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</si>
  <si>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</si>
  <si>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</si>
  <si>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</si>
  <si>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</si>
  <si>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</si>
  <si>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</si>
  <si>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</si>
  <si>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</si>
  <si>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</si>
  <si>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</si>
  <si>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</si>
  <si>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</si>
  <si>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</si>
  <si>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</si>
  <si>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</si>
  <si>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</si>
  <si>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</si>
  <si>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</si>
  <si>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</si>
  <si>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</si>
  <si>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</si>
  <si>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</si>
  <si>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</si>
  <si>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</si>
  <si>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</si>
  <si>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</si>
  <si>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</si>
  <si>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</si>
  <si>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</si>
  <si>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</si>
  <si>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</si>
  <si>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</si>
  <si>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</si>
  <si>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</si>
  <si>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</si>
  <si>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</si>
  <si>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</si>
  <si>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</si>
  <si>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</si>
  <si>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</si>
  <si>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</si>
  <si>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</si>
  <si>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</si>
  <si>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</si>
  <si>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</si>
  <si>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</si>
  <si>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</si>
  <si>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</si>
  <si>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</si>
  <si>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</si>
  <si>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</si>
  <si>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</si>
  <si>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</si>
  <si>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</si>
  <si>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</si>
  <si>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</si>
  <si>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</si>
  <si>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</si>
  <si>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</si>
  <si>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</si>
  <si>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</si>
  <si>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</si>
  <si>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</si>
  <si>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</si>
  <si>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</si>
  <si>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</si>
  <si>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</si>
  <si>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</si>
  <si>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</si>
  <si>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</si>
  <si>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</si>
  <si>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</si>
  <si>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</si>
  <si>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</si>
  <si>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</si>
  <si>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</si>
  <si>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</si>
  <si>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</si>
  <si>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</si>
  <si>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</si>
  <si>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</si>
  <si>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</si>
  <si>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</si>
  <si>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</si>
  <si>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</si>
  <si>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</si>
  <si>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</si>
  <si>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</si>
  <si>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</si>
  <si>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</si>
  <si>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</si>
  <si>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</si>
  <si>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</si>
  <si>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</si>
  <si>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</si>
  <si>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</si>
  <si>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</si>
  <si>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</si>
  <si>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</si>
  <si>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</si>
  <si>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</si>
  <si>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</si>
  <si>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</si>
  <si>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</si>
  <si>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</si>
  <si>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</si>
  <si>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</si>
  <si>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</si>
  <si>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</si>
  <si>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</si>
  <si>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</si>
  <si>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</si>
  <si>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</si>
  <si>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</si>
  <si>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</si>
  <si>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</si>
  <si>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</si>
  <si>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</si>
  <si>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</si>
  <si>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</si>
  <si>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</si>
  <si>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</si>
  <si>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</si>
  <si>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</si>
  <si>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</si>
  <si>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</si>
  <si>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</si>
  <si>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</si>
  <si>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</si>
  <si>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</si>
  <si>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</si>
  <si>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</si>
  <si>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</si>
  <si>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</si>
  <si>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</si>
  <si>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</si>
  <si>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</si>
  <si>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</si>
  <si>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</si>
  <si>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</si>
  <si>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</si>
  <si>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</si>
  <si>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</si>
  <si>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</si>
  <si>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</si>
  <si>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</si>
  <si>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</si>
  <si>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</si>
  <si>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</si>
  <si>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</si>
  <si>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</si>
  <si>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</si>
  <si>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</si>
  <si>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</si>
  <si>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</si>
  <si>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</si>
  <si>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</si>
  <si>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</si>
  <si>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</si>
  <si>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</si>
  <si>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</si>
  <si>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</si>
  <si>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</si>
  <si>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</si>
  <si>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</si>
  <si>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</si>
  <si>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</si>
  <si>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</si>
  <si>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</si>
  <si>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</si>
  <si>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</si>
  <si>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</si>
  <si>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</si>
  <si>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</si>
  <si>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</si>
  <si>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</si>
  <si>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</si>
  <si>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</si>
  <si>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</si>
  <si>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</si>
  <si>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</si>
  <si>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</si>
  <si>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</si>
  <si>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</si>
  <si>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</si>
  <si>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</si>
  <si>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</si>
  <si>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</si>
  <si>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</si>
  <si>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</si>
  <si>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</si>
  <si>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</si>
  <si>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</si>
  <si>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</si>
  <si>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</si>
  <si>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</si>
  <si>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</si>
  <si>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</si>
  <si>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</si>
  <si>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</si>
  <si>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</si>
  <si>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</si>
  <si>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</si>
  <si>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</si>
  <si>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</si>
  <si>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</si>
  <si>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</si>
  <si>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</si>
  <si>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</si>
  <si>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</si>
  <si>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</si>
  <si>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</si>
  <si>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</si>
  <si>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</si>
  <si>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</si>
  <si>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</si>
  <si>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</si>
  <si>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</si>
  <si>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</si>
  <si>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</si>
  <si>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</si>
  <si>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</si>
  <si>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</si>
  <si>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</si>
  <si>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</si>
  <si>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</si>
  <si>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</si>
  <si>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</si>
  <si>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</si>
  <si>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</si>
  <si>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</si>
  <si>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</si>
  <si>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</si>
  <si>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</si>
  <si>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</si>
  <si>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</si>
  <si>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</si>
  <si>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</si>
  <si>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</si>
  <si>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</si>
  <si>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</si>
  <si>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</si>
  <si>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</si>
  <si>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</si>
  <si>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</si>
  <si>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</si>
  <si>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</si>
  <si>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</si>
  <si>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</si>
  <si>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</si>
  <si>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</si>
  <si>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</si>
  <si>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</si>
  <si>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</si>
  <si>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</si>
  <si>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</si>
  <si>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</si>
  <si>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</si>
  <si>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</si>
  <si>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</si>
  <si>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</si>
  <si>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</si>
  <si>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</si>
  <si>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</si>
  <si>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</si>
  <si>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</si>
  <si>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</si>
  <si>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</si>
  <si>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</si>
  <si>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</si>
  <si>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</si>
  <si>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</si>
  <si>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</si>
  <si>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</si>
  <si>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</si>
  <si>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</si>
  <si>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</si>
  <si>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</si>
  <si>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</si>
  <si>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</si>
  <si>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</si>
  <si>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</si>
  <si>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</si>
  <si>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</si>
  <si>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</si>
  <si>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</si>
  <si>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</si>
  <si>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</si>
  <si>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</si>
  <si>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</si>
  <si>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</si>
  <si>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</si>
  <si>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</si>
  <si>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</si>
  <si>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</si>
  <si>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</si>
  <si>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</si>
  <si>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</si>
  <si>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</si>
  <si>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</si>
  <si>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</si>
  <si>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</si>
  <si>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</si>
  <si>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</si>
  <si>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</si>
  <si>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</si>
  <si>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</si>
  <si>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</si>
  <si>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</si>
  <si>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</si>
  <si>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</si>
  <si>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</si>
  <si>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</si>
  <si>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</si>
  <si>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</si>
  <si>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</si>
  <si>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</si>
  <si>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</si>
  <si>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</si>
  <si>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</si>
  <si>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</si>
  <si>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</si>
  <si>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</si>
  <si>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</si>
  <si>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</si>
  <si>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</si>
  <si>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</si>
  <si>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</si>
  <si>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</si>
  <si>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</si>
  <si>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</si>
  <si>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</si>
  <si>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</si>
  <si>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</si>
  <si>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</si>
  <si>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</si>
  <si>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</si>
  <si>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</si>
  <si>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</si>
  <si>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</si>
  <si>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</si>
  <si>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</si>
  <si>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</si>
  <si>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</si>
  <si>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</si>
  <si>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</si>
  <si>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</si>
  <si>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</si>
  <si>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</si>
  <si>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</si>
  <si>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</si>
  <si>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</si>
  <si>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</si>
  <si>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</si>
  <si>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</si>
  <si>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</si>
  <si>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</si>
  <si>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</si>
  <si>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</si>
  <si>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</si>
  <si>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</si>
  <si>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</si>
  <si>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</si>
  <si>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</si>
  <si>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</si>
  <si>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</si>
  <si>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</si>
  <si>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</si>
  <si>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</si>
  <si>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</si>
  <si>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</si>
  <si>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</si>
  <si>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</si>
  <si>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</si>
  <si>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</si>
  <si>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</si>
  <si>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</si>
  <si>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</si>
  <si>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</si>
  <si>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</si>
  <si>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</si>
  <si>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</si>
  <si>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</si>
  <si>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</si>
  <si>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</si>
  <si>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</si>
  <si>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</si>
  <si>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</si>
  <si>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</si>
  <si>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</si>
  <si>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</si>
  <si>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</si>
  <si>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</si>
  <si>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</si>
  <si>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</si>
  <si>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</si>
  <si>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</si>
  <si>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</si>
  <si>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</si>
  <si>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</si>
  <si>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</si>
  <si>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</si>
  <si>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</si>
  <si>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</si>
  <si>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</si>
  <si>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</si>
  <si>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</si>
  <si>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</si>
  <si>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</si>
  <si>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</si>
  <si>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</si>
  <si>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</si>
  <si>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</si>
  <si>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</si>
  <si>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</si>
  <si>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</si>
  <si>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</si>
  <si>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</si>
  <si>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</si>
  <si>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</si>
  <si>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</si>
  <si>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</si>
  <si>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</si>
  <si>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</si>
  <si>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</si>
  <si>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</si>
  <si>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</si>
  <si>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</si>
  <si>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</si>
  <si>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</si>
  <si>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</si>
  <si>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</si>
  <si>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</si>
  <si>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</si>
  <si>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</si>
  <si>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</si>
  <si>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</si>
  <si>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</si>
  <si>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</si>
  <si>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</si>
  <si>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</si>
  <si>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</si>
  <si>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</si>
  <si>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</si>
  <si>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</si>
  <si>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</si>
  <si>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</si>
  <si>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</si>
  <si>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</si>
  <si>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</si>
  <si>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</si>
  <si>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</si>
  <si>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</si>
  <si>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</si>
  <si>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</si>
  <si>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</si>
  <si>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</si>
  <si>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</si>
  <si>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</si>
  <si>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</si>
  <si>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</si>
  <si>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</si>
  <si>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</si>
  <si>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</si>
  <si>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</si>
  <si>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</si>
  <si>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</si>
  <si>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</si>
  <si>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</si>
  <si>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</si>
  <si>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</si>
  <si>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</si>
  <si>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</si>
  <si>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</si>
  <si>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</si>
  <si>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</si>
  <si>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</si>
  <si>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</si>
  <si>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</si>
  <si>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</si>
  <si>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</si>
  <si>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</si>
  <si>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</si>
  <si>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</si>
  <si>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</si>
  <si>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</si>
  <si>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</si>
  <si>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</si>
  <si>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</si>
  <si>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</si>
  <si>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</si>
  <si>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</si>
  <si>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</si>
  <si>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</si>
  <si>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</si>
  <si>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</si>
  <si>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</si>
  <si>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</si>
  <si>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</si>
  <si>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</si>
  <si>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</si>
  <si>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</si>
  <si>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</si>
  <si>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</si>
  <si>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</si>
  <si>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</si>
  <si>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</si>
  <si>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</si>
  <si>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</si>
  <si>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</si>
  <si>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</si>
  <si>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</si>
  <si>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</si>
  <si>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</si>
  <si>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</si>
  <si>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</si>
  <si>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</si>
  <si>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</si>
  <si>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</si>
  <si>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</si>
  <si>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</si>
  <si>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</si>
  <si>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</si>
  <si>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</si>
  <si>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</si>
  <si>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</si>
  <si>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</si>
  <si>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</si>
  <si>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</si>
  <si>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</si>
  <si>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</si>
  <si>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</si>
  <si>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</si>
  <si>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</si>
  <si>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</si>
  <si>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</si>
  <si>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</si>
  <si>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</si>
  <si>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</si>
  <si>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</si>
  <si>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</si>
  <si>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</si>
  <si>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</si>
  <si>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</si>
  <si>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</si>
  <si>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</si>
  <si>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</si>
  <si>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</si>
  <si>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</si>
  <si>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</si>
  <si>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</si>
  <si>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</si>
  <si>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</si>
  <si>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</si>
  <si>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</si>
  <si>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</si>
  <si>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</si>
  <si>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</si>
  <si>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</si>
  <si>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</si>
  <si>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</si>
  <si>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</si>
  <si>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</si>
  <si>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</si>
  <si>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</si>
  <si>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</si>
  <si>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</si>
  <si>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</si>
  <si>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</si>
  <si>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</si>
  <si>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</si>
  <si>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</si>
  <si>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</si>
  <si>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</si>
  <si>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</si>
  <si>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</si>
  <si>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</si>
  <si>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</si>
  <si>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</si>
  <si>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</si>
  <si>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</si>
  <si>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</si>
  <si>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</si>
  <si>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</si>
  <si>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</si>
  <si>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</si>
  <si>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</si>
  <si>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</si>
  <si>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</si>
  <si>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</si>
  <si>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</si>
  <si>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</si>
  <si>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</si>
  <si>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</si>
  <si>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</si>
  <si>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</si>
  <si>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</si>
  <si>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</si>
  <si>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</si>
  <si>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</si>
  <si>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</si>
  <si>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</si>
  <si>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</si>
  <si>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</si>
  <si>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</si>
  <si>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</si>
  <si>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</si>
  <si>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</si>
  <si>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</si>
  <si>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</si>
  <si>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</si>
  <si>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</si>
  <si>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</si>
  <si>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</si>
  <si>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</si>
  <si>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</si>
  <si>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</si>
  <si>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</si>
  <si>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</si>
  <si>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</si>
  <si>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</si>
  <si>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</si>
  <si>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</si>
  <si>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</si>
  <si>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</si>
  <si>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</si>
  <si>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</si>
  <si>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</si>
  <si>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</si>
  <si>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</si>
  <si>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</si>
  <si>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</si>
  <si>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</si>
  <si>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</si>
  <si>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</si>
  <si>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</si>
  <si>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</si>
  <si>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</si>
  <si>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</si>
  <si>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</si>
  <si>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</si>
  <si>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</si>
  <si>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</si>
  <si>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</si>
  <si>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</si>
  <si>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</si>
  <si>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</si>
  <si>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</si>
  <si>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</si>
  <si>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</si>
  <si>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</si>
  <si>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</si>
  <si>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</si>
  <si>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</si>
  <si>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</si>
  <si>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</si>
  <si>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</si>
  <si>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</si>
  <si>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</si>
  <si>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</si>
  <si>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</si>
  <si>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</si>
  <si>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</si>
  <si>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</si>
  <si>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</si>
  <si>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</si>
  <si>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</si>
  <si>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</si>
  <si>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</si>
  <si>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</si>
  <si>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</si>
  <si>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</si>
  <si>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</si>
  <si>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</si>
  <si>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</si>
  <si>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</si>
  <si>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</si>
  <si>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</si>
  <si>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</si>
  <si>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</si>
  <si>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</si>
  <si>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</si>
  <si>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</si>
  <si>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</si>
  <si>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</si>
  <si>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</si>
  <si>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</si>
  <si>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</si>
  <si>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</si>
  <si>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</si>
  <si>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</si>
  <si>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</si>
  <si>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</si>
  <si>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</si>
  <si>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</si>
  <si>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</si>
  <si>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</si>
  <si>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</si>
  <si>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</si>
  <si>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</si>
  <si>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</si>
  <si>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</si>
  <si>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</si>
  <si>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</si>
  <si>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</si>
  <si>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</si>
  <si>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</si>
  <si>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</si>
  <si>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</si>
  <si>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</si>
  <si>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</si>
  <si>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</si>
  <si>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</si>
  <si>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</si>
  <si>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</si>
  <si>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</si>
  <si>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</si>
  <si>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</si>
  <si>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</si>
  <si>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</si>
  <si>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</si>
  <si>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</si>
  <si>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</si>
  <si>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</si>
  <si>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</si>
  <si>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</si>
  <si>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</si>
  <si>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</si>
  <si>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</si>
  <si>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</si>
  <si>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</si>
  <si>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</si>
  <si>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</si>
  <si>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</si>
  <si>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</si>
  <si>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</si>
  <si>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</si>
  <si>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</si>
  <si>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</si>
  <si>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</si>
  <si>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</si>
  <si>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</si>
  <si>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</si>
  <si>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</si>
  <si>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</si>
  <si>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</si>
  <si>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</si>
  <si>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</si>
  <si>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</si>
  <si>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</si>
  <si>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</si>
  <si>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</si>
  <si>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</si>
  <si>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</si>
  <si>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</si>
  <si>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</si>
  <si>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</si>
  <si>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</si>
  <si>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</si>
  <si>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</si>
  <si>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</si>
  <si>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</si>
  <si>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</si>
  <si>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</si>
  <si>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</si>
  <si>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</si>
  <si>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</si>
  <si>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</si>
  <si>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</si>
  <si>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</si>
  <si>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</si>
  <si>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</si>
  <si>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</si>
  <si>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</si>
  <si>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</si>
  <si>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</si>
  <si>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</si>
  <si>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</si>
  <si>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</si>
  <si>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</si>
  <si>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</si>
  <si>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</si>
  <si>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</si>
  <si>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</si>
  <si>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</si>
  <si>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</si>
  <si>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</si>
  <si>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</si>
  <si>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</si>
  <si>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</si>
  <si>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</si>
  <si>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</si>
  <si>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</si>
  <si>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</si>
  <si>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</si>
  <si>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</si>
  <si>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</si>
  <si>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</si>
  <si>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</si>
  <si>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</si>
  <si>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</si>
  <si>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</si>
  <si>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</si>
  <si>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</si>
  <si>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</si>
  <si>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</si>
  <si>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</si>
  <si>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</si>
  <si>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</si>
  <si>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</si>
  <si>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</si>
  <si>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</si>
  <si>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</si>
  <si>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</si>
  <si>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</si>
  <si>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</si>
  <si>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</si>
  <si>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</si>
  <si>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</si>
  <si>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</si>
  <si>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</si>
  <si>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</si>
  <si>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</si>
  <si>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</si>
  <si>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</si>
  <si>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</si>
  <si>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</si>
  <si>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</si>
  <si>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</si>
  <si>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</si>
  <si>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</si>
  <si>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</si>
  <si>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</si>
  <si>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</si>
  <si>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</si>
  <si>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</si>
  <si>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</si>
  <si>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</si>
  <si>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</si>
  <si>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</si>
  <si>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</si>
  <si>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</si>
  <si>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</si>
  <si>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</si>
  <si>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</si>
  <si>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</si>
  <si>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</si>
  <si>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</si>
  <si>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</si>
  <si>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</si>
  <si>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</si>
  <si>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</si>
  <si>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</si>
  <si>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</si>
  <si>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</si>
  <si>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</si>
  <si>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</si>
  <si>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</si>
  <si>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</si>
  <si>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</si>
  <si>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</si>
  <si>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</si>
  <si>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</si>
  <si>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</si>
  <si>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</si>
  <si>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</si>
  <si>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</si>
  <si>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</si>
  <si>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</si>
  <si>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</si>
  <si>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</si>
  <si>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</si>
  <si>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</si>
  <si>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</si>
  <si>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</si>
  <si>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</si>
  <si>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</si>
  <si>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</si>
  <si>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</si>
  <si>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</si>
  <si>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</si>
  <si>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</si>
  <si>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</si>
  <si>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</si>
  <si>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</si>
  <si>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</si>
  <si>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</si>
  <si>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</si>
  <si>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</si>
  <si>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</si>
  <si>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</si>
  <si>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</si>
  <si>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</si>
  <si>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</si>
  <si>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</si>
  <si>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</si>
  <si>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</si>
  <si>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</si>
  <si>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</si>
  <si>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</si>
  <si>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</si>
  <si>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</si>
  <si>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</si>
  <si>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</si>
  <si>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</si>
  <si>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</si>
  <si>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</si>
  <si>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</si>
  <si>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</si>
  <si>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</si>
  <si>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</si>
  <si>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</si>
  <si>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</si>
  <si>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</si>
  <si>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</si>
  <si>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</si>
  <si>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</si>
  <si>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</si>
  <si>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</si>
  <si>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</si>
  <si>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</si>
  <si>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</si>
  <si>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</si>
  <si>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</si>
  <si>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</si>
  <si>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</si>
  <si>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</si>
  <si>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</si>
  <si>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</si>
  <si>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</si>
  <si>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</si>
  <si>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</si>
  <si>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</si>
  <si>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</si>
  <si>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</si>
  <si>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</si>
  <si>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</si>
  <si>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</si>
  <si>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</si>
  <si>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</si>
  <si>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</si>
  <si>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</si>
  <si>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</si>
  <si>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</si>
  <si>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</si>
  <si>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</si>
  <si>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</si>
  <si>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</si>
  <si>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</si>
  <si>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</si>
  <si>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</si>
  <si>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</si>
  <si>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</si>
  <si>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</si>
  <si>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</si>
  <si>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</si>
  <si>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</si>
  <si>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</si>
  <si>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</si>
  <si>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</si>
  <si>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</si>
  <si>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</si>
  <si>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</si>
  <si>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</si>
  <si>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</si>
  <si>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</si>
  <si>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</si>
  <si>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</si>
  <si>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</si>
  <si>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</si>
  <si>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</si>
  <si>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</si>
  <si>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</si>
  <si>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</si>
  <si>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</si>
  <si>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</si>
  <si>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</si>
  <si>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</si>
  <si>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</si>
  <si>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</si>
  <si>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</si>
  <si>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</si>
  <si>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</si>
  <si>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</si>
  <si>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</si>
  <si>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</si>
  <si>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</si>
  <si>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</si>
  <si>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</si>
  <si>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</si>
  <si>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</si>
  <si>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</si>
  <si>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</si>
  <si>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</si>
  <si>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</si>
  <si>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</si>
  <si>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</si>
  <si>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</si>
  <si>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</si>
  <si>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</si>
  <si>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</si>
  <si>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</si>
  <si>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</si>
  <si>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</si>
  <si>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</si>
  <si>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</si>
  <si>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</si>
  <si>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</si>
  <si>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</si>
  <si>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</si>
  <si>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</si>
  <si>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</si>
  <si>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</si>
  <si>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</si>
  <si>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</si>
  <si>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</si>
  <si>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</si>
  <si>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</si>
  <si>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</si>
  <si>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</si>
  <si>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</si>
  <si>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</si>
  <si>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</si>
  <si>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</si>
  <si>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</si>
  <si>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</si>
  <si>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</si>
  <si>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</si>
  <si>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</si>
  <si>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</si>
  <si>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</si>
  <si>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</si>
  <si>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</si>
  <si>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</si>
  <si>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</si>
  <si>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</si>
  <si>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</si>
  <si>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</si>
  <si>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</si>
  <si>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</si>
  <si>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</si>
  <si>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</si>
  <si>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</si>
  <si>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</si>
  <si>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</si>
  <si>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</si>
  <si>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</si>
  <si>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</si>
  <si>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</si>
  <si>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</si>
  <si>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</si>
  <si>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</si>
  <si>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</si>
  <si>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</si>
  <si>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</si>
  <si>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</si>
  <si>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</si>
  <si>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</si>
  <si>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</si>
  <si>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</si>
  <si>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</si>
  <si>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</si>
  <si>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</si>
  <si>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</si>
  <si>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</si>
  <si>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</si>
  <si>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</si>
  <si>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</si>
  <si>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</si>
  <si>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</si>
  <si>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</si>
  <si>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</si>
  <si>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</si>
  <si>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</si>
  <si>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</si>
  <si>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</si>
  <si>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</si>
  <si>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</si>
  <si>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</si>
  <si>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</si>
  <si>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</si>
  <si>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</si>
  <si>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</si>
  <si>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</si>
  <si>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</si>
  <si>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</si>
  <si>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</si>
  <si>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</si>
  <si>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</si>
  <si>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</si>
  <si>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</si>
  <si>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</si>
  <si>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</si>
  <si>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</si>
  <si>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</si>
  <si>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</si>
  <si>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</si>
  <si>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</si>
  <si>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</si>
  <si>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</si>
  <si>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</si>
  <si>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</si>
  <si>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</si>
  <si>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</si>
  <si>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</si>
  <si>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</si>
  <si>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</si>
  <si>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</si>
  <si>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</si>
  <si>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</si>
  <si>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</si>
  <si>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</si>
  <si>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</si>
  <si>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</si>
  <si>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</si>
  <si>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</si>
  <si>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</si>
  <si>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</si>
  <si>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</si>
  <si>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</si>
  <si>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</si>
  <si>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</si>
  <si>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</si>
  <si>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</si>
  <si>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</si>
  <si>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</si>
  <si>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</si>
  <si>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</si>
  <si>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</si>
  <si>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</si>
  <si>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</si>
  <si>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</si>
  <si>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</si>
  <si>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</si>
  <si>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</si>
  <si>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</si>
  <si>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</si>
  <si>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</si>
  <si>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</si>
  <si>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</si>
  <si>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</si>
  <si>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</si>
  <si>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</si>
  <si>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</si>
  <si>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</si>
  <si>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</si>
  <si>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</si>
  <si>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</si>
  <si>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</si>
  <si>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</si>
  <si>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</si>
  <si>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</si>
  <si>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</si>
  <si>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</si>
  <si>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</si>
  <si>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</si>
  <si>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</si>
  <si>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</si>
  <si>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</si>
  <si>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</si>
  <si>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</si>
  <si>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</si>
  <si>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</si>
  <si>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</si>
  <si>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</si>
  <si>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</si>
  <si>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</si>
  <si>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</si>
  <si>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</si>
  <si>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</si>
  <si>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</si>
  <si>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</si>
  <si>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</si>
  <si>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</si>
  <si>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</si>
  <si>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</si>
  <si>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</si>
  <si>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</si>
  <si>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</si>
  <si>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</si>
  <si>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</si>
  <si>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</si>
  <si>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</si>
  <si>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</si>
  <si>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</si>
  <si>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</si>
  <si>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</si>
  <si>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</si>
  <si>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</si>
  <si>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</si>
  <si>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</si>
  <si>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</si>
  <si>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</si>
  <si>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</si>
  <si>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</si>
  <si>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</si>
  <si>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</si>
  <si>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</si>
  <si>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</si>
  <si>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</si>
  <si>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</si>
  <si>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</si>
  <si>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</si>
  <si>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</si>
  <si>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</si>
  <si>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</si>
  <si>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</si>
  <si>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</si>
  <si>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</si>
  <si>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</si>
  <si>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</si>
  <si>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</si>
  <si>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</si>
  <si>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</si>
  <si>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</si>
  <si>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</si>
  <si>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</si>
  <si>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</si>
  <si>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</si>
  <si>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</si>
  <si>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</si>
  <si>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</si>
  <si>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</si>
  <si>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</si>
  <si>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</si>
  <si>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</si>
  <si>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</si>
  <si>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</si>
  <si>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</si>
  <si>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</si>
  <si>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</si>
  <si>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</si>
  <si>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</si>
  <si>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</si>
  <si>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</si>
  <si>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</si>
  <si>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</si>
  <si>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</si>
  <si>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</si>
  <si>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</si>
  <si>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</si>
  <si>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</si>
  <si>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</si>
  <si>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</si>
  <si>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</si>
  <si>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</si>
  <si>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</si>
  <si>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</si>
  <si>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</si>
  <si>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</si>
  <si>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</si>
  <si>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</si>
  <si>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</si>
  <si>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</si>
  <si>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</si>
  <si>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</si>
  <si>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</si>
  <si>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</si>
  <si>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</si>
  <si>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</si>
  <si>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</si>
  <si>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</si>
  <si>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</si>
  <si>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</si>
  <si>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</si>
  <si>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</si>
  <si>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</si>
  <si>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</si>
  <si>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</si>
  <si>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</si>
  <si>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</si>
  <si>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</si>
  <si>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</si>
  <si>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</si>
  <si>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</si>
  <si>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</si>
  <si>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</si>
  <si>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</si>
  <si>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</si>
  <si>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</si>
  <si>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</si>
  <si>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</si>
  <si>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</si>
  <si>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</si>
  <si>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</si>
  <si>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</si>
  <si>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</si>
  <si>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</si>
  <si>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</si>
  <si>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</si>
  <si>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</si>
  <si>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</si>
  <si>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</si>
  <si>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</si>
  <si>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</si>
  <si>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</si>
  <si>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</si>
  <si>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</si>
  <si>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</si>
  <si>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</si>
  <si>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</si>
  <si>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</si>
  <si>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</si>
  <si>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</si>
  <si>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</si>
  <si>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</si>
  <si>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</si>
  <si>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</si>
  <si>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</si>
  <si>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</si>
  <si>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</si>
  <si>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</si>
  <si>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</si>
  <si>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</si>
  <si>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</si>
  <si>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</si>
  <si>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</si>
  <si>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</si>
  <si>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</si>
  <si>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</si>
  <si>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</si>
  <si>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</si>
  <si>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</si>
  <si>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</si>
  <si>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</si>
  <si>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</si>
  <si>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</si>
  <si>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</si>
  <si>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</si>
  <si>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</si>
  <si>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</si>
  <si>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</si>
  <si>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</si>
  <si>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</si>
  <si>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</si>
  <si>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</si>
  <si>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</si>
  <si>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</si>
  <si>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</si>
  <si>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</si>
  <si>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</si>
  <si>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</si>
  <si>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</si>
  <si>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</si>
  <si>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</si>
  <si>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</si>
  <si>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</si>
  <si>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</si>
  <si>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</si>
  <si>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</si>
  <si>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</si>
  <si>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</si>
  <si>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</si>
  <si>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</si>
  <si>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</si>
  <si>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</si>
  <si>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</si>
  <si>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</si>
  <si>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</si>
  <si>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</si>
  <si>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</si>
  <si>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</si>
  <si>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</si>
  <si>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</si>
  <si>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</si>
  <si>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</si>
  <si>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</si>
  <si>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</si>
  <si>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</si>
  <si>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</si>
  <si>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</si>
  <si>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</si>
  <si>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</si>
  <si>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</si>
  <si>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</si>
  <si>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</si>
  <si>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</si>
  <si>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</si>
  <si>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</si>
  <si>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</si>
  <si>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</si>
  <si>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</si>
  <si>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</si>
  <si>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</si>
  <si>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</si>
  <si>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</si>
  <si>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</si>
  <si>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</si>
  <si>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</si>
  <si>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</si>
  <si>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</si>
  <si>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</si>
  <si>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</si>
  <si>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</si>
  <si>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</si>
  <si>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</si>
  <si>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</si>
  <si>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</si>
  <si>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</si>
  <si>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</si>
  <si>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</si>
  <si>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</si>
  <si>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</si>
  <si>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</si>
  <si>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</si>
  <si>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</si>
  <si>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</si>
  <si>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</si>
  <si>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</si>
  <si>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</si>
  <si>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</si>
  <si>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</si>
  <si>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</si>
  <si>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</si>
  <si>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</si>
  <si>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</si>
  <si>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</si>
  <si>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</si>
  <si>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</si>
  <si>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</si>
  <si>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</si>
  <si>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</si>
  <si>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</si>
  <si>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</si>
  <si>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</si>
  <si>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</si>
  <si>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</si>
  <si>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</si>
  <si>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</si>
  <si>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</si>
  <si>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</si>
  <si>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</si>
  <si>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</si>
  <si>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</si>
  <si>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</si>
  <si>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</si>
  <si>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</si>
  <si>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</si>
  <si>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</si>
  <si>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</si>
  <si>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</si>
  <si>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</si>
  <si>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</si>
  <si>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</si>
  <si>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</si>
  <si>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</si>
  <si>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</si>
  <si>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</si>
  <si>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</si>
  <si>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</si>
  <si>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</si>
  <si>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</si>
  <si>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</si>
  <si>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</si>
  <si>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</si>
  <si>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</si>
  <si>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</si>
  <si>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</si>
  <si>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</si>
  <si>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</si>
  <si>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</si>
  <si>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</si>
  <si>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</si>
  <si>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</si>
  <si>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</si>
  <si>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</si>
  <si>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</si>
  <si>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</si>
  <si>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</si>
  <si>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</si>
  <si>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</si>
  <si>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</si>
  <si>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</si>
  <si>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</si>
  <si>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</si>
  <si>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</si>
  <si>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</si>
  <si>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</si>
  <si>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</si>
  <si>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</si>
  <si>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</si>
  <si>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</si>
  <si>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</si>
  <si>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</si>
  <si>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</si>
  <si>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</si>
  <si>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</si>
  <si>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</si>
  <si>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</si>
  <si>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</si>
  <si>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</si>
  <si>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</si>
  <si>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</si>
  <si>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</si>
  <si>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</si>
  <si>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</si>
  <si>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</si>
  <si>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</si>
  <si>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</si>
  <si>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</si>
  <si>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</si>
  <si>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</si>
  <si>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</si>
  <si>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</si>
  <si>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</si>
  <si>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</si>
  <si>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</si>
  <si>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</si>
  <si>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</si>
  <si>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</si>
  <si>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</si>
  <si>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</si>
  <si>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</si>
  <si>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</si>
  <si>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</si>
  <si>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</si>
  <si>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</si>
  <si>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</si>
  <si>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</si>
  <si>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</si>
  <si>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</si>
  <si>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</si>
  <si>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</si>
  <si>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</si>
  <si>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</si>
  <si>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</si>
  <si>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</si>
  <si>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</si>
  <si>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</si>
  <si>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</si>
  <si>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</si>
  <si>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</si>
  <si>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</si>
  <si>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</si>
  <si>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</si>
  <si>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</si>
  <si>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</si>
  <si>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</si>
  <si>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</si>
  <si>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</si>
  <si>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</si>
  <si>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</si>
  <si>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</si>
  <si>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</si>
  <si>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</si>
  <si>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</si>
  <si>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</si>
  <si>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</si>
  <si>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</si>
  <si>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</si>
  <si>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</si>
  <si>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</si>
  <si>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</si>
  <si>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</si>
  <si>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</si>
  <si>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</si>
  <si>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</si>
  <si>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</si>
  <si>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</si>
  <si>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</si>
  <si>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</si>
  <si>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</si>
  <si>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</si>
  <si>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</si>
  <si>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</si>
  <si>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</si>
  <si>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</si>
  <si>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</si>
  <si>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</si>
  <si>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</si>
  <si>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</si>
  <si>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</si>
  <si>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</si>
  <si>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</si>
  <si>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</si>
  <si>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</si>
  <si>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</si>
  <si>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</si>
  <si>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</si>
  <si>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</si>
  <si>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</si>
  <si>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</si>
  <si>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</si>
  <si>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</si>
  <si>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</si>
  <si>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</si>
  <si>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</si>
  <si>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</si>
  <si>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</si>
  <si>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</si>
  <si>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</si>
  <si>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</si>
  <si>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</si>
  <si>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</si>
  <si>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</si>
  <si>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</si>
  <si>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</si>
  <si>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</si>
  <si>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</si>
  <si>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</si>
  <si>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</si>
  <si>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</si>
  <si>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</si>
  <si>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</si>
  <si>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</si>
  <si>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</si>
  <si>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</si>
  <si>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</si>
  <si>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</si>
  <si>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</si>
  <si>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</si>
  <si>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</si>
  <si>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</si>
  <si>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</si>
  <si>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</si>
  <si>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</si>
  <si>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</si>
  <si>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</si>
  <si>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</si>
  <si>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</si>
  <si>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</si>
  <si>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</si>
  <si>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</si>
  <si>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</si>
  <si>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</si>
  <si>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</si>
  <si>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</si>
  <si>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</si>
  <si>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</si>
  <si>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</si>
  <si>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</si>
  <si>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</si>
  <si>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</si>
  <si>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</si>
  <si>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</si>
  <si>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</si>
  <si>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</si>
  <si>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</si>
  <si>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</si>
  <si>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</si>
  <si>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</si>
  <si>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</si>
  <si>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</si>
  <si>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</si>
  <si>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</si>
  <si>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</si>
  <si>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</si>
  <si>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</si>
  <si>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</si>
  <si>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</si>
  <si>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</si>
  <si>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</si>
  <si>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</si>
  <si>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</si>
  <si>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</si>
  <si>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</si>
  <si>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</si>
  <si>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</si>
  <si>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</si>
  <si>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</si>
  <si>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</si>
  <si>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</si>
  <si>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</si>
  <si>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</si>
  <si>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</si>
  <si>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</si>
  <si>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</si>
  <si>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</si>
  <si>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</si>
  <si>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</si>
  <si>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</si>
  <si>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</si>
  <si>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</si>
  <si>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</si>
  <si>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</si>
  <si>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</si>
  <si>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</si>
  <si>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</si>
  <si>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</si>
  <si>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</si>
  <si>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</si>
  <si>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</si>
  <si>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</si>
  <si>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</si>
  <si>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</si>
  <si>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</si>
  <si>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</si>
  <si>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</si>
  <si>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</si>
  <si>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</si>
  <si>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</si>
  <si>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</si>
  <si>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</si>
  <si>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</si>
  <si>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</si>
  <si>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</si>
  <si>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</si>
  <si>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</si>
  <si>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</si>
  <si>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</si>
  <si>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</si>
  <si>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</si>
  <si>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</si>
  <si>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</si>
  <si>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</si>
  <si>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</si>
  <si>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</si>
  <si>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</si>
  <si>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</si>
  <si>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</si>
  <si>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</si>
  <si>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</si>
  <si>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</si>
  <si>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</si>
  <si>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</si>
  <si>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</si>
  <si>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</si>
  <si>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</si>
  <si>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</si>
  <si>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</si>
  <si>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</si>
  <si>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</si>
  <si>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</si>
  <si>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</si>
  <si>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</si>
  <si>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</si>
  <si>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</si>
  <si>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</si>
  <si>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</si>
  <si>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</si>
  <si>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</si>
  <si>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</si>
  <si>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</si>
  <si>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</si>
  <si>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</si>
  <si>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</si>
  <si>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</si>
  <si>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</si>
  <si>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</si>
  <si>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</si>
  <si>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</si>
  <si>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</si>
  <si>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</si>
  <si>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</si>
  <si>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</si>
  <si>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</si>
  <si>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</si>
  <si>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</si>
  <si>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</si>
  <si>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</si>
  <si>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</si>
  <si>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</si>
  <si>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</si>
  <si>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</si>
  <si>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</si>
  <si>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</si>
  <si>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</si>
  <si>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</si>
  <si>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</si>
  <si>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</si>
  <si>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</si>
  <si>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</si>
  <si>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</si>
  <si>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</si>
  <si>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</si>
  <si>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</si>
  <si>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</si>
  <si>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</si>
  <si>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</si>
  <si>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</si>
  <si>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</si>
  <si>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</si>
  <si>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</si>
  <si>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</si>
  <si>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</si>
  <si>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</si>
  <si>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</si>
  <si>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</si>
  <si>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</si>
  <si>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</si>
  <si>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</si>
  <si>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</si>
  <si>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</si>
  <si>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</si>
  <si>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</si>
  <si>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</si>
  <si>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</si>
  <si>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</si>
  <si>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</si>
  <si>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</si>
  <si>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</si>
  <si>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</si>
  <si>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</si>
  <si>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</si>
  <si>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</si>
  <si>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</si>
  <si>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</si>
  <si>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</si>
  <si>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</si>
  <si>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</si>
  <si>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</si>
  <si>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</si>
  <si>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</si>
  <si>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</si>
  <si>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</si>
  <si>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</si>
  <si>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</si>
  <si>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</si>
  <si>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</si>
  <si>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</si>
  <si>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</si>
  <si>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</si>
  <si>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</si>
  <si>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</si>
  <si>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</si>
  <si>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</si>
  <si>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</si>
  <si>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</si>
  <si>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</si>
  <si>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</si>
  <si>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</si>
  <si>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</si>
  <si>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</si>
  <si>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</si>
  <si>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</si>
  <si>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</si>
  <si>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</si>
  <si>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</si>
  <si>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</si>
  <si>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</si>
  <si>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</si>
  <si>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</si>
  <si>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</si>
  <si>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</si>
  <si>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</si>
  <si>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</si>
  <si>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</si>
  <si>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</si>
  <si>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</si>
  <si>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</si>
  <si>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</si>
  <si>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</si>
  <si>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</si>
  <si>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</si>
  <si>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</si>
  <si>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</si>
  <si>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</si>
  <si>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</si>
  <si>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</si>
  <si>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</si>
  <si>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</si>
  <si>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</si>
  <si>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</si>
  <si>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</si>
  <si>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</si>
  <si>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</si>
  <si>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</si>
  <si>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</si>
  <si>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</si>
  <si>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</si>
  <si>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</si>
  <si>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</si>
  <si>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</si>
  <si>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</si>
  <si>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</si>
  <si>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</si>
  <si>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</si>
  <si>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</si>
  <si>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</si>
  <si>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</si>
  <si>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</si>
  <si>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</si>
  <si>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</si>
  <si>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</si>
  <si>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</si>
  <si>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</si>
  <si>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</si>
  <si>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</si>
  <si>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</si>
  <si>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</si>
  <si>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</si>
  <si>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</si>
  <si>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</si>
  <si>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</si>
  <si>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</si>
  <si>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</si>
  <si>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</si>
  <si>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</si>
  <si>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</si>
  <si>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</si>
  <si>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</si>
  <si>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</si>
  <si>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</si>
  <si>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</si>
  <si>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</si>
  <si>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</si>
  <si>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</si>
  <si>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</si>
  <si>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</si>
  <si>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</si>
  <si>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</si>
  <si>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</si>
  <si>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</si>
  <si>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</si>
  <si>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</si>
  <si>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</si>
  <si>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</si>
  <si>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</si>
  <si>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</si>
  <si>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</si>
  <si>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</si>
  <si>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</si>
  <si>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</si>
  <si>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</si>
  <si>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</si>
  <si>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</si>
  <si>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</si>
  <si>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</si>
  <si>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</si>
  <si>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</si>
  <si>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</si>
  <si>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</si>
  <si>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</si>
  <si>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</si>
  <si>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</si>
  <si>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</si>
  <si>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</si>
  <si>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</si>
  <si>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</si>
  <si>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</si>
  <si>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</si>
  <si>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</si>
  <si>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</si>
  <si>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</si>
  <si>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</si>
  <si>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</si>
  <si>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</si>
  <si>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</si>
  <si>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</si>
  <si>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</si>
  <si>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</si>
  <si>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</si>
  <si>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</si>
  <si>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</si>
  <si>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</si>
  <si>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</si>
  <si>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</si>
  <si>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</si>
  <si>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</si>
  <si>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</si>
  <si>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</si>
  <si>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</si>
  <si>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</si>
  <si>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</si>
  <si>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</si>
  <si>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</si>
  <si>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</si>
  <si>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</si>
  <si>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</si>
  <si>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</si>
  <si>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</si>
  <si>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</si>
  <si>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</si>
  <si>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</si>
  <si>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</si>
  <si>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</si>
  <si>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</si>
  <si>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</si>
  <si>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</si>
  <si>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</si>
  <si>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</si>
  <si>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</si>
  <si>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</si>
  <si>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</si>
  <si>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</si>
  <si>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</si>
  <si>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</si>
  <si>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</si>
  <si>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</si>
  <si>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</si>
  <si>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</si>
  <si>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</si>
  <si>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</si>
  <si>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</si>
  <si>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</si>
  <si>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</si>
  <si>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</si>
  <si>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</si>
  <si>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</si>
  <si>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</si>
  <si>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</si>
  <si>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</si>
  <si>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</si>
  <si>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</si>
  <si>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</si>
  <si>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</si>
  <si>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</si>
  <si>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</si>
  <si>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</si>
  <si>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</si>
  <si>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</si>
  <si>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</si>
  <si>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</si>
  <si>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</si>
  <si>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</si>
  <si>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</si>
  <si>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</si>
  <si>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</si>
  <si>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</si>
  <si>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</si>
  <si>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</si>
  <si>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</si>
  <si>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</si>
  <si>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</si>
  <si>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</si>
  <si>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</si>
  <si>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</si>
  <si>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</si>
  <si>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</si>
  <si>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</si>
  <si>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</si>
  <si>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</si>
  <si>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</si>
  <si>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</si>
  <si>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</si>
  <si>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</si>
  <si>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</si>
  <si>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</si>
  <si>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</si>
  <si>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</si>
  <si>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</si>
  <si>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</si>
  <si>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</si>
  <si>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</si>
  <si>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</si>
  <si>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</si>
  <si>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</si>
  <si>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</si>
  <si>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</si>
  <si>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</si>
  <si>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</si>
  <si>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</si>
  <si>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</si>
  <si>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</si>
  <si>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</si>
  <si>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</si>
  <si>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</si>
  <si>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</si>
  <si>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</si>
  <si>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</si>
  <si>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</si>
  <si>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</si>
  <si>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</si>
  <si>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</si>
  <si>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</si>
  <si>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</si>
  <si>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</si>
  <si>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</si>
  <si>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</si>
  <si>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</si>
  <si>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</si>
  <si>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</si>
  <si>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</si>
  <si>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</si>
  <si>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</si>
  <si>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</si>
  <si>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</si>
  <si>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</si>
  <si>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</si>
  <si>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</si>
  <si>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</si>
  <si>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</si>
  <si>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</si>
  <si>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</si>
  <si>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</si>
  <si>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</si>
  <si>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</si>
  <si>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</si>
  <si>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</si>
  <si>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</si>
  <si>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</si>
  <si>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</si>
  <si>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</si>
  <si>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</si>
  <si>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</si>
  <si>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</si>
  <si>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</si>
  <si>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</si>
  <si>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</si>
  <si>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</si>
  <si>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</si>
  <si>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</si>
  <si>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</si>
  <si>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</si>
  <si>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</si>
  <si>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</si>
  <si>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</si>
  <si>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</si>
  <si>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</si>
  <si>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</si>
  <si>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</si>
  <si>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</si>
  <si>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</si>
  <si>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</si>
  <si>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</si>
  <si>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</si>
  <si>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</si>
  <si>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</si>
  <si>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</si>
  <si>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</si>
  <si>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</si>
  <si>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</si>
  <si>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</si>
  <si>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</si>
  <si>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</si>
  <si>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</si>
  <si>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</si>
  <si>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</si>
  <si>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</si>
  <si>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</si>
  <si>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</si>
  <si>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</si>
  <si>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</si>
  <si>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</si>
  <si>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</si>
  <si>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</si>
  <si>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</si>
  <si>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</si>
  <si>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</si>
  <si>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</si>
  <si>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</si>
  <si>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</si>
  <si>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</si>
  <si>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</si>
  <si>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</si>
  <si>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</si>
  <si>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</si>
  <si>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</si>
  <si>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</si>
  <si>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</si>
  <si>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</si>
  <si>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</si>
  <si>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</si>
  <si>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</si>
  <si>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</si>
  <si>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</si>
  <si>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</si>
  <si>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</si>
  <si>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</si>
  <si>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</si>
  <si>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</si>
  <si>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</si>
  <si>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</si>
  <si>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</si>
  <si>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</si>
  <si>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</si>
  <si>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</si>
  <si>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</si>
  <si>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</si>
  <si>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</si>
  <si>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</si>
  <si>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</si>
  <si>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</si>
  <si>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</si>
  <si>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</si>
  <si>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</si>
  <si>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</si>
  <si>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</si>
  <si>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</si>
  <si>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</si>
  <si>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</si>
  <si>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</si>
  <si>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</si>
  <si>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</si>
  <si>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</si>
  <si>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</si>
  <si>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</si>
  <si>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</si>
  <si>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</si>
  <si>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</si>
  <si>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</si>
  <si>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</si>
  <si>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</si>
  <si>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</si>
  <si>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</si>
  <si>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</si>
  <si>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</si>
  <si>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</si>
  <si>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</si>
  <si>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</si>
  <si>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</si>
  <si>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</si>
  <si>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</si>
  <si>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</si>
  <si>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</si>
  <si>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</si>
  <si>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</si>
  <si>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</si>
  <si>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</si>
  <si>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</si>
  <si>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</si>
  <si>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</si>
  <si>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</si>
  <si>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</si>
  <si>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</si>
  <si>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</si>
  <si>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</si>
  <si>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</si>
  <si>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</si>
  <si>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</si>
  <si>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</si>
  <si>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</si>
  <si>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</si>
  <si>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</si>
  <si>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</si>
  <si>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</si>
  <si>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</si>
  <si>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</si>
  <si>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</si>
  <si>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</si>
  <si>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</si>
  <si>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</si>
  <si>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</si>
  <si>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</si>
  <si>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</si>
  <si>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</si>
  <si>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</si>
  <si>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</si>
  <si>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</si>
  <si>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</si>
  <si>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</si>
  <si>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</si>
  <si>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</si>
  <si>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</si>
  <si>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</si>
  <si>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</si>
  <si>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</si>
  <si>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</si>
  <si>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</si>
  <si>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</si>
  <si>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</si>
  <si>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</si>
  <si>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</si>
  <si>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</si>
  <si>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</si>
  <si>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</si>
  <si>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</si>
  <si>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</si>
  <si>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</si>
  <si>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</si>
  <si>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</si>
  <si>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</si>
  <si>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</si>
  <si>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</si>
  <si>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</si>
  <si>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</si>
  <si>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</si>
  <si>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</si>
  <si>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</si>
  <si>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</si>
  <si>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</si>
  <si>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</si>
  <si>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</si>
  <si>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</si>
  <si>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</si>
  <si>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</si>
  <si>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</si>
  <si>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</si>
  <si>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</si>
  <si>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</si>
  <si>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</si>
  <si>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</si>
  <si>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</si>
  <si>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</si>
  <si>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</si>
  <si>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</si>
  <si>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</si>
  <si>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</si>
  <si>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</si>
  <si>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</si>
  <si>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</si>
  <si>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</si>
  <si>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</si>
  <si>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</si>
  <si>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</si>
  <si>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</si>
  <si>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</si>
  <si>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</si>
  <si>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</si>
  <si>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</si>
  <si>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</si>
  <si>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</si>
  <si>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</si>
  <si>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</si>
  <si>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</si>
  <si>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</si>
  <si>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</si>
  <si>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</si>
  <si>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</si>
  <si>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</si>
  <si>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</si>
  <si>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</si>
  <si>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</si>
  <si>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</si>
  <si>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</si>
  <si>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</si>
  <si>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</si>
  <si>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</si>
  <si>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</si>
  <si>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</si>
  <si>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</si>
  <si>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</si>
  <si>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</si>
  <si>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</si>
  <si>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</si>
  <si>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</si>
  <si>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</si>
  <si>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</si>
  <si>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</si>
  <si>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</si>
  <si>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</si>
  <si>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</si>
  <si>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</si>
  <si>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</si>
  <si>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</si>
  <si>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</si>
  <si>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</si>
  <si>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</si>
  <si>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</si>
  <si>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</si>
  <si>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</si>
  <si>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</si>
  <si>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</si>
  <si>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</si>
  <si>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</si>
  <si>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</si>
  <si>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</si>
  <si>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</si>
  <si>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</si>
  <si>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</si>
  <si>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</si>
  <si>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</si>
  <si>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</si>
  <si>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</si>
  <si>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</si>
  <si>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</si>
  <si>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</si>
  <si>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</si>
  <si>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</si>
  <si>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</si>
  <si>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</si>
  <si>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</si>
  <si>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</si>
  <si>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</si>
  <si>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</si>
  <si>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</si>
  <si>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</si>
  <si>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</si>
  <si>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</si>
  <si>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</si>
  <si>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</si>
  <si>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</si>
  <si>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</si>
  <si>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</si>
  <si>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</si>
  <si>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</si>
  <si>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</si>
  <si>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</si>
  <si>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</si>
  <si>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</si>
  <si>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</si>
  <si>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</si>
  <si>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</si>
  <si>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</si>
  <si>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</si>
  <si>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</si>
  <si>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</si>
  <si>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</si>
  <si>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</si>
  <si>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</si>
  <si>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</si>
  <si>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</si>
  <si>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</si>
  <si>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</si>
  <si>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</si>
  <si>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</si>
  <si>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</si>
  <si>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</si>
  <si>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</si>
  <si>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</si>
  <si>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</si>
  <si>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</si>
  <si>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</si>
  <si>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</si>
  <si>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</si>
  <si>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</si>
  <si>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</si>
  <si>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</si>
  <si>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</si>
  <si>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</si>
  <si>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</si>
  <si>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</si>
  <si>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</si>
  <si>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</si>
  <si>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</si>
  <si>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</si>
  <si>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</si>
  <si>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</si>
  <si>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</si>
  <si>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</si>
  <si>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</si>
  <si>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</si>
  <si>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</si>
  <si>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</si>
  <si>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</si>
  <si>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</si>
  <si>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</si>
  <si>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</si>
  <si>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</si>
  <si>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</si>
  <si>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</si>
  <si>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</si>
  <si>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</si>
  <si>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</si>
  <si>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</si>
  <si>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</si>
  <si>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</si>
  <si>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</si>
  <si>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</si>
  <si>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</si>
  <si>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</si>
  <si>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</si>
  <si>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</si>
  <si>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</si>
  <si>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</si>
  <si>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</si>
  <si>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</si>
  <si>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</si>
  <si>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</si>
  <si>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</si>
  <si>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</si>
  <si>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</si>
  <si>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</si>
  <si>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</si>
  <si>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</si>
  <si>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</si>
  <si>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</si>
  <si>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</si>
  <si>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</si>
  <si>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</si>
  <si>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</si>
  <si>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</si>
  <si>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</si>
  <si>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</si>
  <si>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</si>
  <si>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</si>
  <si>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</si>
  <si>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</si>
  <si>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</si>
  <si>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</si>
  <si>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</si>
  <si>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</si>
  <si>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</si>
  <si>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</si>
  <si>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</si>
  <si>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</si>
  <si>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</si>
  <si>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</si>
  <si>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</si>
  <si>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</si>
  <si>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</si>
  <si>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</si>
  <si>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</si>
  <si>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</si>
  <si>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</si>
  <si>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</si>
  <si>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</si>
  <si>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</si>
  <si>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</si>
  <si>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</si>
  <si>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</si>
  <si>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</si>
  <si>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</si>
  <si>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</si>
  <si>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</si>
  <si>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</si>
  <si>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</si>
  <si>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</si>
  <si>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</si>
  <si>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</si>
  <si>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</si>
  <si>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</si>
  <si>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</si>
  <si>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</si>
  <si>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</si>
  <si>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</si>
  <si>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</si>
  <si>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</si>
  <si>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</si>
  <si>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</si>
  <si>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</si>
  <si>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</si>
  <si>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</si>
  <si>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</si>
  <si>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</si>
  <si>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</si>
  <si>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</si>
  <si>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</si>
  <si>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</si>
  <si>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</si>
  <si>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</si>
  <si>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</si>
  <si>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</si>
  <si>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</si>
  <si>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</si>
  <si>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</si>
  <si>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</si>
  <si>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</si>
  <si>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</si>
  <si>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</si>
  <si>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</si>
  <si>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</si>
  <si>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</si>
  <si>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</si>
  <si>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</si>
  <si>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</si>
  <si>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</si>
  <si>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</si>
  <si>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</si>
  <si>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</si>
  <si>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</si>
  <si>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</si>
  <si>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</si>
  <si>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</si>
  <si>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</si>
  <si>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</si>
  <si>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</si>
  <si>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</si>
  <si>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</si>
  <si>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</si>
  <si>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</si>
  <si>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</si>
  <si>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</si>
  <si>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</si>
  <si>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</si>
  <si>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</si>
  <si>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</si>
  <si>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</si>
  <si>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</si>
  <si>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</si>
  <si>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</si>
  <si>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</si>
  <si>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</si>
  <si>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</si>
  <si>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</si>
  <si>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</si>
  <si>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</si>
  <si>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</si>
  <si>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</si>
  <si>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</si>
  <si>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</si>
  <si>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</si>
  <si>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</si>
  <si>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</si>
  <si>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</si>
  <si>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</si>
  <si>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</si>
  <si>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</si>
  <si>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</si>
  <si>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</si>
  <si>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</si>
  <si>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</si>
  <si>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</si>
  <si>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</si>
  <si>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</si>
  <si>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</si>
  <si>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</si>
  <si>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</si>
  <si>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</si>
  <si>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</si>
  <si>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</si>
  <si>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</si>
  <si>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</si>
  <si>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</si>
  <si>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</si>
  <si>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</si>
  <si>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</si>
  <si>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</si>
  <si>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</si>
  <si>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</si>
  <si>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</si>
  <si>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</si>
  <si>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</si>
  <si>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</si>
  <si>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</si>
  <si>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</si>
  <si>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</si>
  <si>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</si>
  <si>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</si>
  <si>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</si>
  <si>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</si>
  <si>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</si>
  <si>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</si>
  <si>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</si>
  <si>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</si>
  <si>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</si>
  <si>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</si>
  <si>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</si>
  <si>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</si>
  <si>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</si>
  <si>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</si>
  <si>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</si>
  <si>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</si>
  <si>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</si>
  <si>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</si>
  <si>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</si>
  <si>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</si>
  <si>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</si>
  <si>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</si>
  <si>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</si>
  <si>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</si>
  <si>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</si>
  <si>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</si>
  <si>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</si>
  <si>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</si>
  <si>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</si>
  <si>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</si>
  <si>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</si>
  <si>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</si>
  <si>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</si>
  <si>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</si>
  <si>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</si>
  <si>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</si>
  <si>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</si>
  <si>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</si>
  <si>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</si>
  <si>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</si>
  <si>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</si>
  <si>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</si>
  <si>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</si>
  <si>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</si>
  <si>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</si>
  <si>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</si>
  <si>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</si>
  <si>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</si>
  <si>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</si>
  <si>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</si>
  <si>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</si>
  <si>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</si>
  <si>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</si>
  <si>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</si>
  <si>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</si>
  <si>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</si>
  <si>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</si>
  <si>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</si>
  <si>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</si>
  <si>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</si>
  <si>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</si>
  <si>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</si>
  <si>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</si>
  <si>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</si>
  <si>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</si>
  <si>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</si>
  <si>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</si>
  <si>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</si>
  <si>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</si>
  <si>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</si>
  <si>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</si>
  <si>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</si>
  <si>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</si>
  <si>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</si>
  <si>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</si>
  <si>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</si>
  <si>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</si>
  <si>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</si>
  <si>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</si>
  <si>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</si>
  <si>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</si>
  <si>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</si>
  <si>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</si>
  <si>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</si>
  <si>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</si>
  <si>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</si>
  <si>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</si>
  <si>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</si>
  <si>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</si>
  <si>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</si>
  <si>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</si>
  <si>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</si>
  <si>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</si>
  <si>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</si>
  <si>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</si>
  <si>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</si>
  <si>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</si>
  <si>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</si>
  <si>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</si>
  <si>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</si>
  <si>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</si>
  <si>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</si>
  <si>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</si>
  <si>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</si>
  <si>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</si>
  <si>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</si>
  <si>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</si>
  <si>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</si>
  <si>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</si>
  <si>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</si>
  <si>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</si>
  <si>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</si>
  <si>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</si>
  <si>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</si>
  <si>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</si>
  <si>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</si>
  <si>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</si>
  <si>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</si>
  <si>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</si>
  <si>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</si>
  <si>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</si>
  <si>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</si>
  <si>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</si>
  <si>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</si>
  <si>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</si>
  <si>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</si>
  <si>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</si>
  <si>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</si>
  <si>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</si>
  <si>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</si>
  <si>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</si>
  <si>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</si>
  <si>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</si>
  <si>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</si>
  <si>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</si>
  <si>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</si>
  <si>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</si>
  <si>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</si>
  <si>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</si>
  <si>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</si>
  <si>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</si>
  <si>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</si>
  <si>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</si>
  <si>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</si>
  <si>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</si>
  <si>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</si>
  <si>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</si>
  <si>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</si>
  <si>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</si>
  <si>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</si>
  <si>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</si>
  <si>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</si>
  <si>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</si>
  <si>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</si>
  <si>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</si>
  <si>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</si>
  <si>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</si>
  <si>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</si>
  <si>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</si>
  <si>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</si>
  <si>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</si>
  <si>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</si>
  <si>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</si>
  <si>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</si>
  <si>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</si>
  <si>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</si>
  <si>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</si>
  <si>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</si>
  <si>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</si>
  <si>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</si>
  <si>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</si>
  <si>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</si>
  <si>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</si>
  <si>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</si>
  <si>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</si>
  <si>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</si>
  <si>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</si>
  <si>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</si>
  <si>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</si>
  <si>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</si>
  <si>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</si>
  <si>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</si>
  <si>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</si>
  <si>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</si>
  <si>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</si>
  <si>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</si>
  <si>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</si>
  <si>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</si>
  <si>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</si>
  <si>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</si>
  <si>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</si>
  <si>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</si>
  <si>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</si>
  <si>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</si>
  <si>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</si>
  <si>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</si>
  <si>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</si>
  <si>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</si>
  <si>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</si>
  <si>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</si>
  <si>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</si>
  <si>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</si>
  <si>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</si>
  <si>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</si>
  <si>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</si>
  <si>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</si>
  <si>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</si>
  <si>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</si>
  <si>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</si>
  <si>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</si>
  <si>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</si>
  <si>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</si>
  <si>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</si>
  <si>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</si>
  <si>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</si>
  <si>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</si>
  <si>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</si>
  <si>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</si>
  <si>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</si>
  <si>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</si>
  <si>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</si>
  <si>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</si>
  <si>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</si>
  <si>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</si>
  <si>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</si>
  <si>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</si>
  <si>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</si>
  <si>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</si>
  <si>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</si>
  <si>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</si>
  <si>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</si>
  <si>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</si>
  <si>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</si>
  <si>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</si>
  <si>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</si>
  <si>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</si>
  <si>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</si>
  <si>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</si>
  <si>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</si>
  <si>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</si>
  <si>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</si>
  <si>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</si>
  <si>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</si>
  <si>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</si>
  <si>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</si>
  <si>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</si>
  <si>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</si>
  <si>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</si>
  <si>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</si>
  <si>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</si>
  <si>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</si>
  <si>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</si>
  <si>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</si>
  <si>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</si>
  <si>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</si>
  <si>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</si>
  <si>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</si>
  <si>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</si>
  <si>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</si>
  <si>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</si>
  <si>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</si>
  <si>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</si>
  <si>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</si>
  <si>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</si>
  <si>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</si>
  <si>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</si>
  <si>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</si>
  <si>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</si>
  <si>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</si>
  <si>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</si>
  <si>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</si>
  <si>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</si>
  <si>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</si>
  <si>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</si>
  <si>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</si>
  <si>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</si>
  <si>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</si>
  <si>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</si>
  <si>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</si>
  <si>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</si>
  <si>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</si>
  <si>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</si>
  <si>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</si>
  <si>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</si>
  <si>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</si>
  <si>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</si>
  <si>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</si>
  <si>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</si>
  <si>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</si>
  <si>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</si>
  <si>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</si>
  <si>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</si>
  <si>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</si>
  <si>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</si>
  <si>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</si>
  <si>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</si>
  <si>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</si>
  <si>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</si>
  <si>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</si>
  <si>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</si>
  <si>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</si>
  <si>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</si>
  <si>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</si>
  <si>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</si>
  <si>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</si>
  <si>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</si>
  <si>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</si>
  <si>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</si>
  <si>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</si>
  <si>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</si>
  <si>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</si>
  <si>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</si>
  <si>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</si>
  <si>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</si>
  <si>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</si>
  <si>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</si>
  <si>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</si>
  <si>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</si>
  <si>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</si>
  <si>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</si>
  <si>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</si>
  <si>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</si>
  <si>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</si>
  <si>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</si>
  <si>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</si>
  <si>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</si>
  <si>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</si>
  <si>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</si>
  <si>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</si>
  <si>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</si>
  <si>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</si>
  <si>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</si>
  <si>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</si>
  <si>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</si>
  <si>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</si>
  <si>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</si>
  <si>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</si>
  <si>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</si>
  <si>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</si>
  <si>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</si>
  <si>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</si>
  <si>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</si>
  <si>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</si>
  <si>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</si>
  <si>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</si>
  <si>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</si>
  <si>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</si>
  <si>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</si>
  <si>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</si>
  <si>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</si>
  <si>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</si>
  <si>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</si>
  <si>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</si>
  <si>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</si>
  <si>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</si>
  <si>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</si>
  <si>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</si>
  <si>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</si>
  <si>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</si>
  <si>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</si>
  <si>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</si>
  <si>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</si>
  <si>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</si>
  <si>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</si>
  <si>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</si>
  <si>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</si>
  <si>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</si>
  <si>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</si>
  <si>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</si>
  <si>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</si>
  <si>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</si>
  <si>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</si>
  <si>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</si>
  <si>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</si>
  <si>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</si>
  <si>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</si>
  <si>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</si>
  <si>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</si>
  <si>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</si>
  <si>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</si>
  <si>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</si>
  <si>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</si>
  <si>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</si>
  <si>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</si>
  <si>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</si>
  <si>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</si>
  <si>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</si>
  <si>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</si>
  <si>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</si>
  <si>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</si>
  <si>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</si>
  <si>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</si>
  <si>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</si>
  <si>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</si>
  <si>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</si>
  <si>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</si>
  <si>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</si>
  <si>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</si>
  <si>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</si>
  <si>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</si>
  <si>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</si>
  <si>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</si>
  <si>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</si>
  <si>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</si>
  <si>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</si>
  <si>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</si>
  <si>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</si>
  <si>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</si>
  <si>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</si>
  <si>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</si>
  <si>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</si>
  <si>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</si>
  <si>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</si>
  <si>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</si>
  <si>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</si>
  <si>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</si>
  <si>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</si>
  <si>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</si>
  <si>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</si>
  <si>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</si>
  <si>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</si>
  <si>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</si>
  <si>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</si>
  <si>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</si>
  <si>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</si>
  <si>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</si>
  <si>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</si>
  <si>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</si>
  <si>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</si>
  <si>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</si>
  <si>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</si>
  <si>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</si>
  <si>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</si>
  <si>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</si>
  <si>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</si>
  <si>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</si>
  <si>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</si>
  <si>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</si>
  <si>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</si>
  <si>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</si>
  <si>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</si>
  <si>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</si>
  <si>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</si>
  <si>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</si>
  <si>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</si>
  <si>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</si>
  <si>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</si>
  <si>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</si>
  <si>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</si>
  <si>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</si>
  <si>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</si>
  <si>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</si>
  <si>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</si>
  <si>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</si>
  <si>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</si>
  <si>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</si>
  <si>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</si>
  <si>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</si>
  <si>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</si>
  <si>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</si>
  <si>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</si>
  <si>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</si>
  <si>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</si>
  <si>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</si>
  <si>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</si>
  <si>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</si>
  <si>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</si>
  <si>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</si>
  <si>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</si>
  <si>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</si>
  <si>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</si>
  <si>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</si>
  <si>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</si>
  <si>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</si>
  <si>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</si>
  <si>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</si>
  <si>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</si>
  <si>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</si>
  <si>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</si>
  <si>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</si>
  <si>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</si>
  <si>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</si>
  <si>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</si>
  <si>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</si>
  <si>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</si>
  <si>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</si>
  <si>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</si>
  <si>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</si>
  <si>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</si>
  <si>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</si>
  <si>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</si>
  <si>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</si>
  <si>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</si>
  <si>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</si>
  <si>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</si>
  <si>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</si>
  <si>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</si>
  <si>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</si>
  <si>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</si>
  <si>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</si>
  <si>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</si>
  <si>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</si>
  <si>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</si>
  <si>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</si>
  <si>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</si>
  <si>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</si>
  <si>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</si>
  <si>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</si>
  <si>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</si>
  <si>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</si>
  <si>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</si>
  <si>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</si>
  <si>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</si>
  <si>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</si>
  <si>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</si>
  <si>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</si>
  <si>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</si>
  <si>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</si>
  <si>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</si>
  <si>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</si>
  <si>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</si>
  <si>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</si>
  <si>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</si>
  <si>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</si>
  <si>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</si>
  <si>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</si>
  <si>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</si>
  <si>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</si>
  <si>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</si>
  <si>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</si>
  <si>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</si>
  <si>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</si>
  <si>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</si>
  <si>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</si>
  <si>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</si>
  <si>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</si>
  <si>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</si>
  <si>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</si>
  <si>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</si>
  <si>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</si>
  <si>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</si>
  <si>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</si>
  <si>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</si>
  <si>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</si>
  <si>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</si>
  <si>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</si>
  <si>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</si>
  <si>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</si>
  <si>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</si>
  <si>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</si>
  <si>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</si>
  <si>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</si>
  <si>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</si>
  <si>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</si>
  <si>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</si>
  <si>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</si>
  <si>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</si>
  <si>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</si>
  <si>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</si>
  <si>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</si>
  <si>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</si>
  <si>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</si>
  <si>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</si>
  <si>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</si>
  <si>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</si>
  <si>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</si>
  <si>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</si>
  <si>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</si>
  <si>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</si>
  <si>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</si>
  <si>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</si>
  <si>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</si>
  <si>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</si>
  <si>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</si>
  <si>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</si>
  <si>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</si>
  <si>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</si>
  <si>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</si>
  <si>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</si>
  <si>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</si>
  <si>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</si>
  <si>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</si>
  <si>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</si>
  <si>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</si>
  <si>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</si>
  <si>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</si>
  <si>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</si>
  <si>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</si>
  <si>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</si>
  <si>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</si>
  <si>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</si>
  <si>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</si>
  <si>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</si>
  <si>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</si>
  <si>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</si>
  <si>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</si>
  <si>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</si>
  <si>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</si>
  <si>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</si>
  <si>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</si>
  <si>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</si>
  <si>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</si>
  <si>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</si>
  <si>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</si>
  <si>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</si>
  <si>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</si>
  <si>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</si>
  <si>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</si>
  <si>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</si>
  <si>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</si>
  <si>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</si>
  <si>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</si>
  <si>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</si>
  <si>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</si>
  <si>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</si>
  <si>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</si>
  <si>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</si>
  <si>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</si>
  <si>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</si>
  <si>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</si>
  <si>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</si>
  <si>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</si>
  <si>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</si>
  <si>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</si>
  <si>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</si>
  <si>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</si>
  <si>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</si>
  <si>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</si>
  <si>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</si>
  <si>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</si>
  <si>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</si>
  <si>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</si>
  <si>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</si>
  <si>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</si>
  <si>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</si>
  <si>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</si>
  <si>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</si>
  <si>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</si>
  <si>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</si>
  <si>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</si>
  <si>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</si>
  <si>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</si>
  <si>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</si>
  <si>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</si>
  <si>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</si>
  <si>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</si>
  <si>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</si>
  <si>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</si>
  <si>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</si>
  <si>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</si>
  <si>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</si>
  <si>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</si>
  <si>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</si>
  <si>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</si>
  <si>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</si>
  <si>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</si>
  <si>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</si>
  <si>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</si>
  <si>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</si>
  <si>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</si>
  <si>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</si>
  <si>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</si>
  <si>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</si>
  <si>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</si>
  <si>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</si>
  <si>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</si>
  <si>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</si>
  <si>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</si>
  <si>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</si>
  <si>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</si>
  <si>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</si>
  <si>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</si>
  <si>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</si>
  <si>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</si>
  <si>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</si>
  <si>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</si>
  <si>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</si>
  <si>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</si>
  <si>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</si>
  <si>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</si>
  <si>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</si>
  <si>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</si>
  <si>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</si>
  <si>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</si>
  <si>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</si>
  <si>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</si>
  <si>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</si>
  <si>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</si>
  <si>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</si>
  <si>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</si>
  <si>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</si>
  <si>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</si>
  <si>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</si>
  <si>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</si>
  <si>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</si>
  <si>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</si>
  <si>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</si>
  <si>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</si>
  <si>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</si>
  <si>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</si>
  <si>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</si>
  <si>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</si>
  <si>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</si>
  <si>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</si>
  <si>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</si>
  <si>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</si>
  <si>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</si>
  <si>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</si>
  <si>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</si>
  <si>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</si>
  <si>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</si>
  <si>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</si>
  <si>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</si>
  <si>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</si>
  <si>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</si>
  <si>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</si>
  <si>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</si>
  <si>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</si>
  <si>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</si>
  <si>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</si>
  <si>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</si>
  <si>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</si>
  <si>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</si>
  <si>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</si>
  <si>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</si>
  <si>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</si>
  <si>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</si>
  <si>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</si>
  <si>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</si>
  <si>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</si>
  <si>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</si>
  <si>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</si>
  <si>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</si>
  <si>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</si>
  <si>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</si>
  <si>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</si>
  <si>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</si>
  <si>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</si>
  <si>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</si>
  <si>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</si>
  <si>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</si>
  <si>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</si>
  <si>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</si>
  <si>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</si>
  <si>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</si>
  <si>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</si>
  <si>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</si>
  <si>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</si>
  <si>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</si>
  <si>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</si>
  <si>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</si>
  <si>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</si>
  <si>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</si>
  <si>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</si>
  <si>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</si>
  <si>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</si>
  <si>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</si>
  <si>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</si>
  <si>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</si>
  <si>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</si>
  <si>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</si>
  <si>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</si>
  <si>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</si>
  <si>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</si>
  <si>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</si>
  <si>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</si>
  <si>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</si>
  <si>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</si>
  <si>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</si>
  <si>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</si>
  <si>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</si>
  <si>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</si>
  <si>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</si>
  <si>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</si>
  <si>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</si>
  <si>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</si>
  <si>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</si>
  <si>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</si>
  <si>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</si>
  <si>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</si>
  <si>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</si>
  <si>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</si>
  <si>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</si>
  <si>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</si>
  <si>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</si>
  <si>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</si>
  <si>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</si>
  <si>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</si>
  <si>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</si>
  <si>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</si>
  <si>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</si>
  <si>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</si>
  <si>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</si>
  <si>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</si>
  <si>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</si>
  <si>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</si>
  <si>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</si>
  <si>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</si>
  <si>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</si>
  <si>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</si>
  <si>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</si>
  <si>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</si>
  <si>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</si>
  <si>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</si>
  <si>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</si>
  <si>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</si>
  <si>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</si>
  <si>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</si>
  <si>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</si>
  <si>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</si>
  <si>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</si>
  <si>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</si>
  <si>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</si>
  <si>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</si>
  <si>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</si>
  <si>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</si>
  <si>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</si>
  <si>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</si>
  <si>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</si>
  <si>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</si>
  <si>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</si>
  <si>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</si>
  <si>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</si>
  <si>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</si>
  <si>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</si>
  <si>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</si>
  <si>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</si>
  <si>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</si>
  <si>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</si>
  <si>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</si>
  <si>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</si>
  <si>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</si>
  <si>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</si>
  <si>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</si>
  <si>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</si>
  <si>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</si>
  <si>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</si>
  <si>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</si>
  <si>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</si>
  <si>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</si>
  <si>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</si>
  <si>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</si>
  <si>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</si>
  <si>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</si>
  <si>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</si>
  <si>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</si>
  <si>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</si>
  <si>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</si>
  <si>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</si>
  <si>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</si>
  <si>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</si>
  <si>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</si>
  <si>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</si>
  <si>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</si>
  <si>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</si>
  <si>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</si>
  <si>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</si>
  <si>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</si>
  <si>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</si>
  <si>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</si>
  <si>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</si>
  <si>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</si>
  <si>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</si>
  <si>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</si>
  <si>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</si>
  <si>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</si>
  <si>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</si>
  <si>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</si>
  <si>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</si>
  <si>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</si>
  <si>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</si>
  <si>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</si>
  <si>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</si>
  <si>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</si>
  <si>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</si>
  <si>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</si>
  <si>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</si>
  <si>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</si>
  <si>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</si>
  <si>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</si>
  <si>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</si>
  <si>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</si>
  <si>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</si>
  <si>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</si>
  <si>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</si>
  <si>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</si>
  <si>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</si>
  <si>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</si>
  <si>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</si>
  <si>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</si>
  <si>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</si>
  <si>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</si>
  <si>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</si>
  <si>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</si>
  <si>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</si>
  <si>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</si>
  <si>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</si>
  <si>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</si>
  <si>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</si>
  <si>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</si>
  <si>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</si>
  <si>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</si>
  <si>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</si>
  <si>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</si>
  <si>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</si>
  <si>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</si>
  <si>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</si>
  <si>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</si>
  <si>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</si>
  <si>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</si>
  <si>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</si>
  <si>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</si>
  <si>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</si>
  <si>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</si>
  <si>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</si>
  <si>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</si>
  <si>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</si>
  <si>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</si>
  <si>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</si>
  <si>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</si>
  <si>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</si>
  <si>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</si>
  <si>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</si>
  <si>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</si>
  <si>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</si>
  <si>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</si>
  <si>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</si>
  <si>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</si>
  <si>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</si>
  <si>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</si>
  <si>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</si>
  <si>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</si>
  <si>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</si>
  <si>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</si>
  <si>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</si>
  <si>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</si>
  <si>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</si>
  <si>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</si>
  <si>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</si>
  <si>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</si>
  <si>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</si>
  <si>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</si>
  <si>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</si>
  <si>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</si>
  <si>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</si>
  <si>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</si>
  <si>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</si>
  <si>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</si>
  <si>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</si>
  <si>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</si>
  <si>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</si>
  <si>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</si>
  <si>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</si>
  <si>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</si>
  <si>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</si>
  <si>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</si>
  <si>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</si>
  <si>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</si>
  <si>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</si>
  <si>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</si>
  <si>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</si>
  <si>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</si>
  <si>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</si>
  <si>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</si>
  <si>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</si>
  <si>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</si>
  <si>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</si>
  <si>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</si>
  <si>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</si>
  <si>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</si>
  <si>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</si>
  <si>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</si>
  <si>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</si>
  <si>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</si>
  <si>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</si>
  <si>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</si>
  <si>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</si>
  <si>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</si>
  <si>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</si>
  <si>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</si>
  <si>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</si>
  <si>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</si>
  <si>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</si>
  <si>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</si>
  <si>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</si>
  <si>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</si>
  <si>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</si>
  <si>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</si>
  <si>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</si>
  <si>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</si>
  <si>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</si>
  <si>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</si>
  <si>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</si>
  <si>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</si>
  <si>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</si>
  <si>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</si>
  <si>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</si>
  <si>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</si>
  <si>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</si>
  <si>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</si>
  <si>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</si>
  <si>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</si>
  <si>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</si>
  <si>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</si>
  <si>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</si>
  <si>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</si>
  <si>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</si>
  <si>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</si>
  <si>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</si>
  <si>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</si>
  <si>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</si>
  <si>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</si>
  <si>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</si>
  <si>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</si>
  <si>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</si>
  <si>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</si>
  <si>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</si>
  <si>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</si>
  <si>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</si>
  <si>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</si>
  <si>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</si>
  <si>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</si>
  <si>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</si>
  <si>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</si>
  <si>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</si>
  <si>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</si>
  <si>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</si>
  <si>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</si>
  <si>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</si>
  <si>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</si>
  <si>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</si>
  <si>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</si>
  <si>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</si>
  <si>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</si>
  <si>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</si>
  <si>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</si>
  <si>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</si>
  <si>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</si>
  <si>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</si>
  <si>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</si>
  <si>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</si>
  <si>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</si>
  <si>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</si>
  <si>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</si>
  <si>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</si>
  <si>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</si>
  <si>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</si>
  <si>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</si>
  <si>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</si>
  <si>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</si>
  <si>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</si>
  <si>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</si>
  <si>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</si>
  <si>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</si>
  <si>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</si>
  <si>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</si>
  <si>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</si>
  <si>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</si>
  <si>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</si>
  <si>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</si>
  <si>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</si>
  <si>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</si>
  <si>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</si>
  <si>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</si>
  <si>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</si>
  <si>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</si>
  <si>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</si>
  <si>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</si>
  <si>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</si>
  <si>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</si>
  <si>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</si>
  <si>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</si>
  <si>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</si>
  <si>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</si>
  <si>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</si>
  <si>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</si>
  <si>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</si>
  <si>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</si>
  <si>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</si>
  <si>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</si>
  <si>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</si>
  <si>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</si>
  <si>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</si>
  <si>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</si>
  <si>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</si>
  <si>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</si>
  <si>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</si>
  <si>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</si>
  <si>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</si>
  <si>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</si>
  <si>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</si>
  <si>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</si>
  <si>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</si>
  <si>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</si>
  <si>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</si>
  <si>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</si>
  <si>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</si>
  <si>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</si>
  <si>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</si>
  <si>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</si>
  <si>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</si>
  <si>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</si>
  <si>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</si>
  <si>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</si>
  <si>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</si>
  <si>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</si>
  <si>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</si>
  <si>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</si>
  <si>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</si>
  <si>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</si>
  <si>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</si>
  <si>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</si>
  <si>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</si>
  <si>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</si>
  <si>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</si>
  <si>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</si>
  <si>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</si>
  <si>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</si>
  <si>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</si>
  <si>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</si>
  <si>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</si>
  <si>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</si>
  <si>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</si>
  <si>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</si>
  <si>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</si>
  <si>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</si>
  <si>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</si>
  <si>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</si>
  <si>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</si>
  <si>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</si>
  <si>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</si>
  <si>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</si>
  <si>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</si>
  <si>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</si>
  <si>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</si>
  <si>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</si>
  <si>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</si>
  <si>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</si>
  <si>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</si>
  <si>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</si>
  <si>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</si>
  <si>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</si>
  <si>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</si>
  <si>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</si>
  <si>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</si>
  <si>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</si>
  <si>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</si>
  <si>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</si>
  <si>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</si>
  <si>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</si>
  <si>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</si>
  <si>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</si>
  <si>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</si>
  <si>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</si>
  <si>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</si>
  <si>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</si>
  <si>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</si>
  <si>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</si>
  <si>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</si>
  <si>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</si>
  <si>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</si>
  <si>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</si>
  <si>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</si>
  <si>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</si>
  <si>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</si>
  <si>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</si>
  <si>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</si>
  <si>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</si>
  <si>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</si>
  <si>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</si>
  <si>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</si>
  <si>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</si>
  <si>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</si>
  <si>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</si>
  <si>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</si>
  <si>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</si>
  <si>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</si>
  <si>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</si>
  <si>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</si>
  <si>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</si>
  <si>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</si>
  <si>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</si>
  <si>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</si>
  <si>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</si>
  <si>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</si>
  <si>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</si>
  <si>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</si>
  <si>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</si>
  <si>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</si>
  <si>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</si>
  <si>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</si>
  <si>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</si>
  <si>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</si>
  <si>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</si>
  <si>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</si>
  <si>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</si>
  <si>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</si>
  <si>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</si>
  <si>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</si>
  <si>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</si>
  <si>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</si>
  <si>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</si>
  <si>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</si>
  <si>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</si>
  <si>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</si>
  <si>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</si>
  <si>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</si>
  <si>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</si>
  <si>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</si>
  <si>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</si>
  <si>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</si>
  <si>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</si>
  <si>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</si>
  <si>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</si>
  <si>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</si>
  <si>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</si>
  <si>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</si>
  <si>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</si>
  <si>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</si>
  <si>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</si>
  <si>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</si>
  <si>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</si>
  <si>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</si>
  <si>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</si>
  <si>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</si>
  <si>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</si>
  <si>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</si>
  <si>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</si>
  <si>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</si>
  <si>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</si>
  <si>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</si>
  <si>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</si>
  <si>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</si>
  <si>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</si>
  <si>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</si>
  <si>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</si>
  <si>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</si>
  <si>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</si>
  <si>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</si>
  <si>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</si>
  <si>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</si>
  <si>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</si>
  <si>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</si>
  <si>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</si>
  <si>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</si>
  <si>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</si>
  <si>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</si>
  <si>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</si>
  <si>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</si>
  <si>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</si>
  <si>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</si>
  <si>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</si>
  <si>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</si>
  <si>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</si>
  <si>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</si>
  <si>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</si>
  <si>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</si>
  <si>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</si>
  <si>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</si>
  <si>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</si>
  <si>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</si>
  <si>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</si>
  <si>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</si>
  <si>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</si>
  <si>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</si>
  <si>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</si>
  <si>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</si>
  <si>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</si>
  <si>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</si>
  <si>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</si>
  <si>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</si>
  <si>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</si>
  <si>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</si>
  <si>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</si>
  <si>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</si>
  <si>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</si>
  <si>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</si>
  <si>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</si>
  <si>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</si>
  <si>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</si>
  <si>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</si>
  <si>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</si>
  <si>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</si>
  <si>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</si>
  <si>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</si>
  <si>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</si>
  <si>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</si>
  <si>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</si>
  <si>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</si>
  <si>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</si>
  <si>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</si>
  <si>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</si>
  <si>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</si>
  <si>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</si>
  <si>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</si>
  <si>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</si>
  <si>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</si>
  <si>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</si>
  <si>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</si>
  <si>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</si>
  <si>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</si>
  <si>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</si>
  <si>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</si>
  <si>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</si>
  <si>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</si>
  <si>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</si>
  <si>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</si>
  <si>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</si>
  <si>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</si>
  <si>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</si>
  <si>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</si>
  <si>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</si>
  <si>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</si>
  <si>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</si>
  <si>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</si>
  <si>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</si>
  <si>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</si>
  <si>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</si>
  <si>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</si>
  <si>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</si>
  <si>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</si>
  <si>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</si>
  <si>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</si>
  <si>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</si>
  <si>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</si>
  <si>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</si>
  <si>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</si>
  <si>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</si>
  <si>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</si>
  <si>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</si>
  <si>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</si>
  <si>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</si>
  <si>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</si>
  <si>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</si>
  <si>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</si>
  <si>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</si>
  <si>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</si>
  <si>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</si>
  <si>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</si>
  <si>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</si>
  <si>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</si>
  <si>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</si>
  <si>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</si>
  <si>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</si>
  <si>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</si>
  <si>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</si>
  <si>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</si>
  <si>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</si>
  <si>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</si>
  <si>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</si>
  <si>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</si>
  <si>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</si>
  <si>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</si>
  <si>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</si>
  <si>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</si>
  <si>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</si>
  <si>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</si>
  <si>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</si>
  <si>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</si>
  <si>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</si>
  <si>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</si>
  <si>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</si>
  <si>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</si>
  <si>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</si>
  <si>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</si>
  <si>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</si>
  <si>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</si>
  <si>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</si>
  <si>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</si>
  <si>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</si>
  <si>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</si>
  <si>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</si>
  <si>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</si>
  <si>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</si>
  <si>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</si>
  <si>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</si>
  <si>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</si>
  <si>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</si>
  <si>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</si>
  <si>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</si>
  <si>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</si>
  <si>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</si>
  <si>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</si>
  <si>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</si>
  <si>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</si>
  <si>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</si>
  <si>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</si>
  <si>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</si>
  <si>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</si>
  <si>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</si>
  <si>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</si>
  <si>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</si>
  <si>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</si>
  <si>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</si>
  <si>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</si>
  <si>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</si>
  <si>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</si>
  <si>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</si>
  <si>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</si>
  <si>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</si>
  <si>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</si>
  <si>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</si>
  <si>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</si>
  <si>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</si>
  <si>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</si>
  <si>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</si>
  <si>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</si>
  <si>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</si>
  <si>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</si>
  <si>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</si>
  <si>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</si>
  <si>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</si>
  <si>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</si>
  <si>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</si>
  <si>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</si>
  <si>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</si>
  <si>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</si>
  <si>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</si>
  <si>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</si>
  <si>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</si>
  <si>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</si>
  <si>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</si>
  <si>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</si>
  <si>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</si>
  <si>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</si>
  <si>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</si>
  <si>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</si>
  <si>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</si>
  <si>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</si>
  <si>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</si>
  <si>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</si>
  <si>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</si>
  <si>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</si>
  <si>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</si>
  <si>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</si>
  <si>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</si>
  <si>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</si>
  <si>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</si>
  <si>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</si>
  <si>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</si>
  <si>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</si>
  <si>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</si>
  <si>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</si>
  <si>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</si>
  <si>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</si>
  <si>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</si>
  <si>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</si>
  <si>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</si>
  <si>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</si>
  <si>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</si>
  <si>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</si>
  <si>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</si>
  <si>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</si>
  <si>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</si>
  <si>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</si>
  <si>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</si>
  <si>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</si>
  <si>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</si>
  <si>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</si>
  <si>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</si>
  <si>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</si>
  <si>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</si>
  <si>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</si>
  <si>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</si>
  <si>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</si>
  <si>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</si>
  <si>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</si>
  <si>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</si>
  <si>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</si>
  <si>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</si>
  <si>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</si>
  <si>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</si>
  <si>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</si>
  <si>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</si>
  <si>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</si>
  <si>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</si>
  <si>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</si>
  <si>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</si>
  <si>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</si>
  <si>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</si>
  <si>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</si>
  <si>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</si>
  <si>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</si>
  <si>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</si>
  <si>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</si>
  <si>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</si>
  <si>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</si>
  <si>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</si>
  <si>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</si>
  <si>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</si>
  <si>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</si>
  <si>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</si>
  <si>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</si>
  <si>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</si>
  <si>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</si>
  <si>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</si>
  <si>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</si>
  <si>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</si>
  <si>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</si>
  <si>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</si>
  <si>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</si>
  <si>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</si>
  <si>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</si>
  <si>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</si>
  <si>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</si>
  <si>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</si>
  <si>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</si>
  <si>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</si>
  <si>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</si>
  <si>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</si>
  <si>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</si>
  <si>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</si>
  <si>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</si>
  <si>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</si>
  <si>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</si>
  <si>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</si>
  <si>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</si>
  <si>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</si>
  <si>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</si>
  <si>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</si>
  <si>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</si>
  <si>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</si>
  <si>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</si>
  <si>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</si>
  <si>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</si>
  <si>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</si>
  <si>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</si>
  <si>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</si>
  <si>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</si>
  <si>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</si>
  <si>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</si>
  <si>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</si>
  <si>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</si>
  <si>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</si>
  <si>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</si>
  <si>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</si>
  <si>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</si>
  <si>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</si>
  <si>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</si>
  <si>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</si>
  <si>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</si>
  <si>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</si>
  <si>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</si>
  <si>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</si>
  <si>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</si>
  <si>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</si>
  <si>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</si>
  <si>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</si>
  <si>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</si>
  <si>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</si>
  <si>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</si>
  <si>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</si>
  <si>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</si>
  <si>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</si>
  <si>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</si>
  <si>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</si>
  <si>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</si>
  <si>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</si>
  <si>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</si>
  <si>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</si>
  <si>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</si>
  <si>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</si>
  <si>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</si>
  <si>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</si>
  <si>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</si>
  <si>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</si>
  <si>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</si>
  <si>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</si>
  <si>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</si>
  <si>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</si>
  <si>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</si>
  <si>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</si>
  <si>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</si>
  <si>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</si>
  <si>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</si>
  <si>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</si>
  <si>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</si>
  <si>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</si>
  <si>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</si>
  <si>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</si>
  <si>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</si>
  <si>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</si>
  <si>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</si>
  <si>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</si>
  <si>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</si>
  <si>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</si>
  <si>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</si>
  <si>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</si>
  <si>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</si>
  <si>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</si>
  <si>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</si>
  <si>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</si>
  <si>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</si>
  <si>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</si>
  <si>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</si>
  <si>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</si>
  <si>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</si>
  <si>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</si>
  <si>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</si>
  <si>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</si>
  <si>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</si>
  <si>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</si>
  <si>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</si>
  <si>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</si>
  <si>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</si>
  <si>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</si>
  <si>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</si>
  <si>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</si>
  <si>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</si>
  <si>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</si>
  <si>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</si>
  <si>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</si>
  <si>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</si>
  <si>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</si>
  <si>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</si>
  <si>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</si>
  <si>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</si>
  <si>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</si>
  <si>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</si>
  <si>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</si>
  <si>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</si>
  <si>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</si>
  <si>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</si>
  <si>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</si>
  <si>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</si>
  <si>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</si>
  <si>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</si>
  <si>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</si>
  <si>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</si>
  <si>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</si>
  <si>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</si>
  <si>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</si>
  <si>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</si>
  <si>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</si>
  <si>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</si>
  <si>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</si>
  <si>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</si>
  <si>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</si>
  <si>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</si>
  <si>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</si>
  <si>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</si>
  <si>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</si>
  <si>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</si>
  <si>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</si>
  <si>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</si>
  <si>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</si>
  <si>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</si>
  <si>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</si>
  <si>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</si>
  <si>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</si>
  <si>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</si>
  <si>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</si>
  <si>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</si>
  <si>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</si>
  <si>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</si>
  <si>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</si>
  <si>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</si>
  <si>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</si>
  <si>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</si>
  <si>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</si>
  <si>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</si>
  <si>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</si>
  <si>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</si>
  <si>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</si>
  <si>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</si>
  <si>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</si>
  <si>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</si>
  <si>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</si>
  <si>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</si>
  <si>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</si>
  <si>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</si>
  <si>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</si>
  <si>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</si>
  <si>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</si>
  <si>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</si>
  <si>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</si>
  <si>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</si>
  <si>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</si>
  <si>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</si>
  <si>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</si>
  <si>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</si>
  <si>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</si>
  <si>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</si>
  <si>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</si>
  <si>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</si>
  <si>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</si>
  <si>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</si>
  <si>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</si>
  <si>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</si>
  <si>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</si>
  <si>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</si>
  <si>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</si>
  <si>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</si>
  <si>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</si>
  <si>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</si>
  <si>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</si>
  <si>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</si>
  <si>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</si>
  <si>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</si>
  <si>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</si>
  <si>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</si>
  <si>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</si>
  <si>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</si>
  <si>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</si>
  <si>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</si>
  <si>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</si>
  <si>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</si>
  <si>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</si>
  <si>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</si>
  <si>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</si>
  <si>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</si>
  <si>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</si>
  <si>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</si>
  <si>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</si>
  <si>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</si>
  <si>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</si>
  <si>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</si>
  <si>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</si>
  <si>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</si>
  <si>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</si>
  <si>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</si>
  <si>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</si>
  <si>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</si>
  <si>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</si>
  <si>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</si>
  <si>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</si>
  <si>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</si>
  <si>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</si>
  <si>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</si>
  <si>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</si>
  <si>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</si>
  <si>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</si>
  <si>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</si>
  <si>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</si>
  <si>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</si>
  <si>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</si>
  <si>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</si>
  <si>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</si>
  <si>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</si>
  <si>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</si>
  <si>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</si>
  <si>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</si>
  <si>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</si>
  <si>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</si>
  <si>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</si>
  <si>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</si>
  <si>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</si>
  <si>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</si>
  <si>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</si>
  <si>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</si>
  <si>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</si>
  <si>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</si>
  <si>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</si>
  <si>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</si>
  <si>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</si>
  <si>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</si>
  <si>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</si>
  <si>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</si>
  <si>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</si>
  <si>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</si>
  <si>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</si>
  <si>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</si>
  <si>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</si>
  <si>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</si>
  <si>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</si>
  <si>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</si>
  <si>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</si>
  <si>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</si>
  <si>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</si>
  <si>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</si>
  <si>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</si>
  <si>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</si>
  <si>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</si>
  <si>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</si>
  <si>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</si>
  <si>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</si>
  <si>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</si>
  <si>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</si>
  <si>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</si>
  <si>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</si>
  <si>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</si>
  <si>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</si>
  <si>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</si>
  <si>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</si>
  <si>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</si>
  <si>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</si>
  <si>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</si>
  <si>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</si>
  <si>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</si>
  <si>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</si>
  <si>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</si>
  <si>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</si>
  <si>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</si>
  <si>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</si>
  <si>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</si>
  <si>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</si>
  <si>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</si>
  <si>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</si>
  <si>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</si>
  <si>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</si>
  <si>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</si>
  <si>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</si>
  <si>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</si>
  <si>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</si>
  <si>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</si>
  <si>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</si>
  <si>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</si>
  <si>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</si>
  <si>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</si>
  <si>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</si>
  <si>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</si>
  <si>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</si>
  <si>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</si>
  <si>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</si>
  <si>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</si>
  <si>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</si>
  <si>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</si>
  <si>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</si>
  <si>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</si>
  <si>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</si>
  <si>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</si>
  <si>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</si>
  <si>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</si>
  <si>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</si>
  <si>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</si>
  <si>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</si>
  <si>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</si>
  <si>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</si>
  <si>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</si>
  <si>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</si>
  <si>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</si>
  <si>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</si>
  <si>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</si>
  <si>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</si>
  <si>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</si>
  <si>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</si>
  <si>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</si>
  <si>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</si>
  <si>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</si>
  <si>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</si>
  <si>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</si>
  <si>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</si>
  <si>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</si>
  <si>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</si>
  <si>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</si>
  <si>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</si>
  <si>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</si>
  <si>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</si>
  <si>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</si>
  <si>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</si>
  <si>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</si>
  <si>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</si>
  <si>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</si>
  <si>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</si>
  <si>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</si>
  <si>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</si>
  <si>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</si>
  <si>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</si>
  <si>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</si>
  <si>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</si>
  <si>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</si>
  <si>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</si>
  <si>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</si>
  <si>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</si>
  <si>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</si>
  <si>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</si>
  <si>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</si>
  <si>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</si>
  <si>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</si>
  <si>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</si>
  <si>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</si>
  <si>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</si>
  <si>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</si>
  <si>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</si>
  <si>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</si>
  <si>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</si>
  <si>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</si>
  <si>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</si>
  <si>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</si>
  <si>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</si>
  <si>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</si>
  <si>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</si>
  <si>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</si>
  <si>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</si>
  <si>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</si>
  <si>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</si>
  <si>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</si>
  <si>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</si>
  <si>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</si>
  <si>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</si>
  <si>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</si>
  <si>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</si>
  <si>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</si>
  <si>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</si>
  <si>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</si>
  <si>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</si>
  <si>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</si>
  <si>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</si>
  <si>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</si>
  <si>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</si>
  <si>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</si>
  <si>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</si>
  <si>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</si>
  <si>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</si>
  <si>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</si>
  <si>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</si>
  <si>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</si>
  <si>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</si>
  <si>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</si>
  <si>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</si>
  <si>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</si>
  <si>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</si>
  <si>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</si>
  <si>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</si>
  <si>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</si>
  <si>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</si>
  <si>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</si>
  <si>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</si>
  <si>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</si>
  <si>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</si>
  <si>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</si>
  <si>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</si>
  <si>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</si>
  <si>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</si>
  <si>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</si>
  <si>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</si>
  <si>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</si>
  <si>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</si>
  <si>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</si>
  <si>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</si>
  <si>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</si>
  <si>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</si>
  <si>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</si>
  <si>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</si>
  <si>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</si>
  <si>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</si>
  <si>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</si>
  <si>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</si>
  <si>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</si>
  <si>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</si>
  <si>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</si>
  <si>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</si>
  <si>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</si>
  <si>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</si>
  <si>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</si>
  <si>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</si>
  <si>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</si>
  <si>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</si>
  <si>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</si>
  <si>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</si>
  <si>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</si>
  <si>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</si>
  <si>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</si>
  <si>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</si>
  <si>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</si>
  <si>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</si>
  <si>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</si>
  <si>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</si>
  <si>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</si>
  <si>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</si>
  <si>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</si>
  <si>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</si>
  <si>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</si>
  <si>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</si>
  <si>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</si>
  <si>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</si>
  <si>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</si>
  <si>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</si>
  <si>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</si>
  <si>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</si>
  <si>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</si>
  <si>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</si>
  <si>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</si>
  <si>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</si>
  <si>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</si>
  <si>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</si>
  <si>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</si>
  <si>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</si>
  <si>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</si>
  <si>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</si>
  <si>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</si>
  <si>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</si>
  <si>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</si>
  <si>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</si>
  <si>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</si>
  <si>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</si>
  <si>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</si>
  <si>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</si>
  <si>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</si>
  <si>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</si>
  <si>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</si>
  <si>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</si>
  <si>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</si>
  <si>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</si>
  <si>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</si>
  <si>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</si>
  <si>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</si>
  <si>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</si>
  <si>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</si>
  <si>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</si>
  <si>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</si>
  <si>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</si>
  <si>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</si>
  <si>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</si>
  <si>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</si>
  <si>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</si>
  <si>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</si>
  <si>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</si>
  <si>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</si>
  <si>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</si>
  <si>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</si>
  <si>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</si>
  <si>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</si>
  <si>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</si>
  <si>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</si>
  <si>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</si>
  <si>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</si>
  <si>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</si>
  <si>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</si>
  <si>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</si>
  <si>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</si>
  <si>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</si>
  <si>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</si>
  <si>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</si>
  <si>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</si>
  <si>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</si>
  <si>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</si>
  <si>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</si>
  <si>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</si>
  <si>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</si>
  <si>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</si>
  <si>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</si>
  <si>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</si>
  <si>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</si>
  <si>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</si>
  <si>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</si>
  <si>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</si>
  <si>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</si>
  <si>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</si>
  <si>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</si>
  <si>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</si>
  <si>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</si>
  <si>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</si>
  <si>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</si>
  <si>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</si>
  <si>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</si>
  <si>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</si>
  <si>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</si>
  <si>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</si>
  <si>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</si>
  <si>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</si>
  <si>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</si>
  <si>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</si>
  <si>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</si>
  <si>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</si>
  <si>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</si>
  <si>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</si>
  <si>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</si>
  <si>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</si>
  <si>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</si>
  <si>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</si>
  <si>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</si>
  <si>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</si>
  <si>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</si>
  <si>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</si>
  <si>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</si>
  <si>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</si>
  <si>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</si>
  <si>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</si>
  <si>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</si>
  <si>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</si>
  <si>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</si>
  <si>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</si>
  <si>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</si>
  <si>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</si>
  <si>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</si>
  <si>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</si>
  <si>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</si>
  <si>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</si>
  <si>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</si>
  <si>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</si>
  <si>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</si>
  <si>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</si>
  <si>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</si>
  <si>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</si>
  <si>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</si>
  <si>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</si>
  <si>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</si>
  <si>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</si>
  <si>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</si>
  <si>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</si>
  <si>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</si>
  <si>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</si>
  <si>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</si>
  <si>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</si>
  <si>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</si>
  <si>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</si>
  <si>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</si>
  <si>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</si>
  <si>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</si>
  <si>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</si>
  <si>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</si>
  <si>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</si>
  <si>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</si>
  <si>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</si>
  <si>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</si>
  <si>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</si>
  <si>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</si>
  <si>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</si>
  <si>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</si>
  <si>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</si>
  <si>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</si>
  <si>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</si>
  <si>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</si>
  <si>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</si>
  <si>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</si>
  <si>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</si>
  <si>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</si>
  <si>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</si>
  <si>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</si>
  <si>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</si>
  <si>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</si>
  <si>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</si>
  <si>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</si>
  <si>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</si>
  <si>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</si>
  <si>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</si>
  <si>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</si>
  <si>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</si>
  <si>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</si>
  <si>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</si>
  <si>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</si>
  <si>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</si>
  <si>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</si>
  <si>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</si>
  <si>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</si>
  <si>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</si>
  <si>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</si>
  <si>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</si>
  <si>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</si>
  <si>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</si>
  <si>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</si>
  <si>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</si>
  <si>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</si>
  <si>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</si>
  <si>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</si>
  <si>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</si>
  <si>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</si>
  <si>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</si>
  <si>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</si>
  <si>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</si>
  <si>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</si>
  <si>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</si>
  <si>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</si>
  <si>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</si>
  <si>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</si>
  <si>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</si>
  <si>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</si>
  <si>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</si>
  <si>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</si>
  <si>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</si>
  <si>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</si>
  <si>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</si>
  <si>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</si>
  <si>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</si>
  <si>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</si>
  <si>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</si>
  <si>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</si>
  <si>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</si>
  <si>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</si>
  <si>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</si>
  <si>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</si>
  <si>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</si>
  <si>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</si>
  <si>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</si>
  <si>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</si>
  <si>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</si>
  <si>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</si>
  <si>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</si>
  <si>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</si>
  <si>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</si>
  <si>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</si>
  <si>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</si>
  <si>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</si>
  <si>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</si>
  <si>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</si>
  <si>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</si>
  <si>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</si>
  <si>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</si>
  <si>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</si>
  <si>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</si>
  <si>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</si>
  <si>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</si>
  <si>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</si>
  <si>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</si>
  <si>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</si>
  <si>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</si>
  <si>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</si>
  <si>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</si>
  <si>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</si>
  <si>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</si>
  <si>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</si>
  <si>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</si>
  <si>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</si>
  <si>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</si>
  <si>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</si>
  <si>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</si>
  <si>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</si>
  <si>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</si>
  <si>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</si>
  <si>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</si>
  <si>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</si>
  <si>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</si>
  <si>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</si>
  <si>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</si>
  <si>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</si>
  <si>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</si>
  <si>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</si>
  <si>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</si>
  <si>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</si>
  <si>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</si>
  <si>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</si>
  <si>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</si>
  <si>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</si>
  <si>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</si>
  <si>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</si>
  <si>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</si>
  <si>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</si>
  <si>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</si>
  <si>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</si>
  <si>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</si>
  <si>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</si>
  <si>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</si>
  <si>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</si>
  <si>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</si>
  <si>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</si>
  <si>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</si>
  <si>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</si>
  <si>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</si>
  <si>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</si>
  <si>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</si>
  <si>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</si>
  <si>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</si>
  <si>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</si>
  <si>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</si>
  <si>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</si>
  <si>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</si>
  <si>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</si>
  <si>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</si>
  <si>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</si>
  <si>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</si>
  <si>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</si>
  <si>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</si>
  <si>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</si>
  <si>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</si>
  <si>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</si>
  <si>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</si>
  <si>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</si>
  <si>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</si>
  <si>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</si>
  <si>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</si>
  <si>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</si>
  <si>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</si>
  <si>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</si>
  <si>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</si>
  <si>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</si>
  <si>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</si>
  <si>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</si>
  <si>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</si>
  <si>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</si>
  <si>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</si>
  <si>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</si>
  <si>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</si>
  <si>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</si>
  <si>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</si>
  <si>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</si>
  <si>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</si>
  <si>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</si>
  <si>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</si>
  <si>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</si>
  <si>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</si>
  <si>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</si>
  <si>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</si>
  <si>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</si>
  <si>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</si>
  <si>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</si>
  <si>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</si>
  <si>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</si>
  <si>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</si>
  <si>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</si>
  <si>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</si>
  <si>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</si>
  <si>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</si>
  <si>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</si>
  <si>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</si>
  <si>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</si>
  <si>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</si>
  <si>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</si>
  <si>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</si>
  <si>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</si>
  <si>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</si>
  <si>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</si>
  <si>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</si>
  <si>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</si>
  <si>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</si>
  <si>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</si>
  <si>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</si>
  <si>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</si>
  <si>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</si>
  <si>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</si>
  <si>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</si>
  <si>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</si>
  <si>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</si>
  <si>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</si>
  <si>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</si>
  <si>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</si>
  <si>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</si>
  <si>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</si>
  <si>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</si>
  <si>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</si>
  <si>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</si>
  <si>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</si>
  <si>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</si>
  <si>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</si>
  <si>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</si>
  <si>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</si>
  <si>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</si>
  <si>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</si>
  <si>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</si>
  <si>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</si>
  <si>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</si>
  <si>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</si>
  <si>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</si>
  <si>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</si>
  <si>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</si>
  <si>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</si>
  <si>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</si>
  <si>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</si>
  <si>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</si>
  <si>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</si>
  <si>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</si>
  <si>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</si>
  <si>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</si>
  <si>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</si>
  <si>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</si>
  <si>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</si>
  <si>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</si>
  <si>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</si>
  <si>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</si>
  <si>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</si>
  <si>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</si>
  <si>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</si>
  <si>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</si>
  <si>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</si>
  <si>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</si>
  <si>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</si>
  <si>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</si>
  <si>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</si>
  <si>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</si>
  <si>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</si>
  <si>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</si>
  <si>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</si>
  <si>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</si>
  <si>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</si>
  <si>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</si>
  <si>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</si>
  <si>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</si>
  <si>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</si>
  <si>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</si>
  <si>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</si>
  <si>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</si>
  <si>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</si>
  <si>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</si>
  <si>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</si>
  <si>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</si>
  <si>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</si>
  <si>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</si>
  <si>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</si>
  <si>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</si>
  <si>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</si>
  <si>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</si>
  <si>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</si>
  <si>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</si>
  <si>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</si>
  <si>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</si>
  <si>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</si>
  <si>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</si>
  <si>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</si>
  <si>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</si>
  <si>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</si>
  <si>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</si>
  <si>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</si>
  <si>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</si>
  <si>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</si>
  <si>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</si>
  <si>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</si>
  <si>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</si>
  <si>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</si>
  <si>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</si>
  <si>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</si>
  <si>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</si>
  <si>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</si>
  <si>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</si>
  <si>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</si>
  <si>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</si>
  <si>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</si>
  <si>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</si>
  <si>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</si>
  <si>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</si>
  <si>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</si>
  <si>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</si>
  <si>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</si>
  <si>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</si>
  <si>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</si>
  <si>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</si>
  <si>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</si>
  <si>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</si>
  <si>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</si>
  <si>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</si>
  <si>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</si>
  <si>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</si>
  <si>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</si>
  <si>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</si>
  <si>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</si>
  <si>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</si>
  <si>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</si>
  <si>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</si>
  <si>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</si>
  <si>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</si>
  <si>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</si>
  <si>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</si>
  <si>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</si>
  <si>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</si>
  <si>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</si>
  <si>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</si>
  <si>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</si>
  <si>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</si>
  <si>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</si>
  <si>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</si>
  <si>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</si>
  <si>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</si>
  <si>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</si>
  <si>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</si>
  <si>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</si>
  <si>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</si>
  <si>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</si>
  <si>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</si>
  <si>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</si>
  <si>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</si>
  <si>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</si>
  <si>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</si>
  <si>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</si>
  <si>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</si>
  <si>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</si>
  <si>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</si>
  <si>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</si>
  <si>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</si>
  <si>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</si>
  <si>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</si>
  <si>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</si>
  <si>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</si>
  <si>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</si>
  <si>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</si>
  <si>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</si>
  <si>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</si>
  <si>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</si>
  <si>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</si>
  <si>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</si>
  <si>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</si>
  <si>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</si>
  <si>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</si>
  <si>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</si>
  <si>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</si>
  <si>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</si>
  <si>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</si>
  <si>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</si>
  <si>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</si>
  <si>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</si>
  <si>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</si>
  <si>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</si>
  <si>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</si>
  <si>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</si>
  <si>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</si>
  <si>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</si>
  <si>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</si>
  <si>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</si>
  <si>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</si>
  <si>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</si>
  <si>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</si>
  <si>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</si>
  <si>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</si>
  <si>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</si>
  <si>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</si>
  <si>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</si>
  <si>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</si>
  <si>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</si>
  <si>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</si>
  <si>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</si>
  <si>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</si>
  <si>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</si>
  <si>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</si>
  <si>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</si>
  <si>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</si>
  <si>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</si>
  <si>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</si>
  <si>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</si>
  <si>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</si>
  <si>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</si>
  <si>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</si>
  <si>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</si>
  <si>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</si>
  <si>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</si>
  <si>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</si>
  <si>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</si>
  <si>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</si>
  <si>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</si>
  <si>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</si>
  <si>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</si>
  <si>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</si>
  <si>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</si>
  <si>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</si>
  <si>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</si>
  <si>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</si>
  <si>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</si>
  <si>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</si>
  <si>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</si>
  <si>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</si>
  <si>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</si>
  <si>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</si>
  <si>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</si>
  <si>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</si>
  <si>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</si>
  <si>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</si>
  <si>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</si>
  <si>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</si>
  <si>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</si>
  <si>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</si>
  <si>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</si>
  <si>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</si>
  <si>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</si>
  <si>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</si>
  <si>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</si>
  <si>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</si>
  <si>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</si>
  <si>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</si>
  <si>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</si>
  <si>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</si>
  <si>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</si>
  <si>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</si>
  <si>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</si>
  <si>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</si>
  <si>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</si>
  <si>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</si>
  <si>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</si>
  <si>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</si>
  <si>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</si>
  <si>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</si>
  <si>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</si>
  <si>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</si>
  <si>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</si>
  <si>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</si>
  <si>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</si>
  <si>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</si>
  <si>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</si>
  <si>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</si>
  <si>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</si>
  <si>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</si>
  <si>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</si>
  <si>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</si>
  <si>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</si>
  <si>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</si>
  <si>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</si>
  <si>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</si>
  <si>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</si>
  <si>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</si>
  <si>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</si>
  <si>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</si>
  <si>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</si>
  <si>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</si>
  <si>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</si>
  <si>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</si>
  <si>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</si>
  <si>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</si>
  <si>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</si>
  <si>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</si>
  <si>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</si>
  <si>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</si>
  <si>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</si>
  <si>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</si>
  <si>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</si>
  <si>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</si>
  <si>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</si>
  <si>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</si>
  <si>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</si>
  <si>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</si>
  <si>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</si>
  <si>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</si>
  <si>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</si>
  <si>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</si>
  <si>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</si>
  <si>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</si>
  <si>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</si>
  <si>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</si>
  <si>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</si>
  <si>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</si>
  <si>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</si>
  <si>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</si>
  <si>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</si>
  <si>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</si>
  <si>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</si>
  <si>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</si>
  <si>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</si>
  <si>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</si>
  <si>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</si>
  <si>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</si>
  <si>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</si>
  <si>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</si>
  <si>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</si>
  <si>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</si>
  <si>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</si>
  <si>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</si>
  <si>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</si>
  <si>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</si>
  <si>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</si>
  <si>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</si>
  <si>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</si>
  <si>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</si>
  <si>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</si>
  <si>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</si>
  <si>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</si>
  <si>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</si>
  <si>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</si>
  <si>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</si>
  <si>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</si>
  <si>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</si>
  <si>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</si>
  <si>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</si>
  <si>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</si>
  <si>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</si>
  <si>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</si>
  <si>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</si>
  <si>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</si>
  <si>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</si>
  <si>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</si>
  <si>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</si>
  <si>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</si>
  <si>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</si>
  <si>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</si>
  <si>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</si>
  <si>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</si>
  <si>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</si>
  <si>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</si>
  <si>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</si>
  <si>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</si>
  <si>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</si>
  <si>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</si>
  <si>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</si>
  <si>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</si>
  <si>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</si>
  <si>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</si>
  <si>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</si>
  <si>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</si>
  <si>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</si>
  <si>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</si>
  <si>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</si>
  <si>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</si>
  <si>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</si>
  <si>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</si>
  <si>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</si>
  <si>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</si>
  <si>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</si>
  <si>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</si>
  <si>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</si>
  <si>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</si>
  <si>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</si>
  <si>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</si>
  <si>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</si>
  <si>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</si>
  <si>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</si>
  <si>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</si>
  <si>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</si>
  <si>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</si>
  <si>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</si>
  <si>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</si>
  <si>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</si>
  <si>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</si>
  <si>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</si>
  <si>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</si>
  <si>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</si>
  <si>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</si>
  <si>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</si>
  <si>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</si>
  <si>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</si>
  <si>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</si>
  <si>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</si>
  <si>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</si>
  <si>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</si>
  <si>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</si>
  <si>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</si>
  <si>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</si>
  <si>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</si>
  <si>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</si>
  <si>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</si>
  <si>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</si>
  <si>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</si>
  <si>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</si>
  <si>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</si>
  <si>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</si>
  <si>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</si>
  <si>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</si>
  <si>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</si>
  <si>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</si>
  <si>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</si>
  <si>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</si>
  <si>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</si>
  <si>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</si>
  <si>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</si>
  <si>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</si>
  <si>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</si>
  <si>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</si>
  <si>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</si>
  <si>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</si>
  <si>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</si>
  <si>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</si>
  <si>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</si>
  <si>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</si>
  <si>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</si>
  <si>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</si>
  <si>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</si>
  <si>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</si>
  <si>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</si>
  <si>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</si>
  <si>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</si>
  <si>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</si>
  <si>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</si>
  <si>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</si>
  <si>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</si>
  <si>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</si>
  <si>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</si>
  <si>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</si>
  <si>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</si>
  <si>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</si>
  <si>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</si>
  <si>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</si>
  <si>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</si>
  <si>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</si>
  <si>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</si>
  <si>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</si>
  <si>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</si>
  <si>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</si>
  <si>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</si>
  <si>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</si>
  <si>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</si>
  <si>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</si>
  <si>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</si>
  <si>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</si>
  <si>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</si>
  <si>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</si>
  <si>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</si>
  <si>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</si>
  <si>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</si>
  <si>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</si>
  <si>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</si>
  <si>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</si>
  <si>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</si>
  <si>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</si>
  <si>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</si>
  <si>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</si>
  <si>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</si>
  <si>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</si>
  <si>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</si>
  <si>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</si>
  <si>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</si>
  <si>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</si>
  <si>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</si>
  <si>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</si>
  <si>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</si>
  <si>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</si>
  <si>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</si>
  <si>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</si>
  <si>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</si>
  <si>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</si>
  <si>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</si>
  <si>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</si>
  <si>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</si>
  <si>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</si>
  <si>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</si>
  <si>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</si>
  <si>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</si>
  <si>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</si>
  <si>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</si>
  <si>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</si>
  <si>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</si>
  <si>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</si>
  <si>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</si>
  <si>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</si>
  <si>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</si>
  <si>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</si>
  <si>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</si>
  <si>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</si>
  <si>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</si>
  <si>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</si>
  <si>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</si>
  <si>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</si>
  <si>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</si>
  <si>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</si>
  <si>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</si>
  <si>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</si>
  <si>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</si>
  <si>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</si>
  <si>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</si>
  <si>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</si>
  <si>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</si>
  <si>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</si>
  <si>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</si>
  <si>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</si>
  <si>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</si>
  <si>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</si>
  <si>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</si>
  <si>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</si>
  <si>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</si>
  <si>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</si>
  <si>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</si>
  <si>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</si>
  <si>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</si>
  <si>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</si>
  <si>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</si>
  <si>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</si>
  <si>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</si>
  <si>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</si>
  <si>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</si>
  <si>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</si>
  <si>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</si>
  <si>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</si>
  <si>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</si>
  <si>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</si>
  <si>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</si>
  <si>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</si>
  <si>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</si>
  <si>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</si>
  <si>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</si>
  <si>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</si>
  <si>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</si>
  <si>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</si>
  <si>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</si>
  <si>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</si>
  <si>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</si>
  <si>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</si>
  <si>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</si>
  <si>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</si>
  <si>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</si>
  <si>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</si>
  <si>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</si>
  <si>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</si>
  <si>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</si>
  <si>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</si>
  <si>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</si>
  <si>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</si>
  <si>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</si>
  <si>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</si>
  <si>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</si>
  <si>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</si>
  <si>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</si>
  <si>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</si>
  <si>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</si>
  <si>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</si>
  <si>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</si>
  <si>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</si>
  <si>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</si>
  <si>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</si>
  <si>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</si>
  <si>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</si>
  <si>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</si>
  <si>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</si>
  <si>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</si>
  <si>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</si>
  <si>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</si>
  <si>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</si>
  <si>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</si>
  <si>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</si>
  <si>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</si>
  <si>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</si>
  <si>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</si>
  <si>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</si>
  <si>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</si>
  <si>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</si>
  <si>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</si>
  <si>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</si>
  <si>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</si>
  <si>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</si>
  <si>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</si>
  <si>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</si>
  <si>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</si>
  <si>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</si>
  <si>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</si>
  <si>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</si>
  <si>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</si>
  <si>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</si>
  <si>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</si>
  <si>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</si>
  <si>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</si>
  <si>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</si>
  <si>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</si>
  <si>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</si>
  <si>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</si>
  <si>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</si>
  <si>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</si>
  <si>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</si>
  <si>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</si>
  <si>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</si>
  <si>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</si>
  <si>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</si>
  <si>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</si>
  <si>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</si>
  <si>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</si>
  <si>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</si>
  <si>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</si>
  <si>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</si>
  <si>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</si>
  <si>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</si>
  <si>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</si>
  <si>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</si>
  <si>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</si>
  <si>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</si>
  <si>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</si>
  <si>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</si>
  <si>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</si>
  <si>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</si>
  <si>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</si>
  <si>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</si>
  <si>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</si>
  <si>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</si>
  <si>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</si>
  <si>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</si>
  <si>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</si>
  <si>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</si>
  <si>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</si>
  <si>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</si>
  <si>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</si>
  <si>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</si>
  <si>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</si>
  <si>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</si>
  <si>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</si>
  <si>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</si>
  <si>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</si>
  <si>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</si>
  <si>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</si>
  <si>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</si>
  <si>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</si>
  <si>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</si>
  <si>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</si>
  <si>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</si>
  <si>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</si>
  <si>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</si>
  <si>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</si>
  <si>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</si>
  <si>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</si>
  <si>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</si>
  <si>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</si>
  <si>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</si>
  <si>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</si>
  <si>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</si>
  <si>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</si>
  <si>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</si>
  <si>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</si>
  <si>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</si>
  <si>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</si>
  <si>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</si>
  <si>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</si>
  <si>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</si>
  <si>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</si>
  <si>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</si>
  <si>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</si>
  <si>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</si>
  <si>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</si>
  <si>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</si>
  <si>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</si>
  <si>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</si>
  <si>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</si>
  <si>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</si>
  <si>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</si>
  <si>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</si>
  <si>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</si>
  <si>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</si>
  <si>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</si>
  <si>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</si>
  <si>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</si>
  <si>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</si>
  <si>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</si>
  <si>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</si>
  <si>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</si>
  <si>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</si>
  <si>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</si>
  <si>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</si>
  <si>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</si>
  <si>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</si>
  <si>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</si>
  <si>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</si>
  <si>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</si>
  <si>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</si>
  <si>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</si>
  <si>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</si>
  <si>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</si>
  <si>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</si>
  <si>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</si>
  <si>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</si>
  <si>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</si>
  <si>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</si>
  <si>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</si>
  <si>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</si>
  <si>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</si>
  <si>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</si>
  <si>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</si>
  <si>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</si>
  <si>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</si>
  <si>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</si>
  <si>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</si>
  <si>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</si>
  <si>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</si>
  <si>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</si>
  <si>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</si>
  <si>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</si>
  <si>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</si>
  <si>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</si>
  <si>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</si>
  <si>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</si>
  <si>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</si>
  <si>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</si>
  <si>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</si>
  <si>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</si>
  <si>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</si>
  <si>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</si>
  <si>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</si>
  <si>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</si>
  <si>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</si>
  <si>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</si>
  <si>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</si>
  <si>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</si>
  <si>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</si>
  <si>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</si>
  <si>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</si>
  <si>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</si>
  <si>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</si>
  <si>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</si>
  <si>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</si>
  <si>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</si>
  <si>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</si>
  <si>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</si>
  <si>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</si>
  <si>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</si>
  <si>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</si>
  <si>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</si>
  <si>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</si>
  <si>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</si>
  <si>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</si>
  <si>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</si>
  <si>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</si>
  <si>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</si>
  <si>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</si>
  <si>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</si>
  <si>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</si>
  <si>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</si>
  <si>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</si>
  <si>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</si>
  <si>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</si>
  <si>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</si>
  <si>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</si>
  <si>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</si>
  <si>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</si>
  <si>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</si>
  <si>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</si>
  <si>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</si>
  <si>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</si>
  <si>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</si>
  <si>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</si>
  <si>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</si>
  <si>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</si>
  <si>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</si>
  <si>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</si>
  <si>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</si>
  <si>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</si>
  <si>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</si>
  <si>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</si>
  <si>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</si>
  <si>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</si>
  <si>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</si>
  <si>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</si>
  <si>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</si>
  <si>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</si>
  <si>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</si>
  <si>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</si>
  <si>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</si>
  <si>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</si>
  <si>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</si>
  <si>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</si>
  <si>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</si>
  <si>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</si>
  <si>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</si>
  <si>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</si>
  <si>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</si>
  <si>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</si>
  <si>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</si>
  <si>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</si>
  <si>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</si>
  <si>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</si>
  <si>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</si>
  <si>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</si>
  <si>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</si>
  <si>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</si>
  <si>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</si>
  <si>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</si>
  <si>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</si>
  <si>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</si>
  <si>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</si>
  <si>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</si>
  <si>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</si>
  <si>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</si>
  <si>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</si>
  <si>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</si>
  <si>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</si>
  <si>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</si>
  <si>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</si>
  <si>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</si>
  <si>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</si>
  <si>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</si>
  <si>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</si>
  <si>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</si>
  <si>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</si>
  <si>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</si>
  <si>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</si>
  <si>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</si>
  <si>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</si>
  <si>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</si>
  <si>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</si>
  <si>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</si>
  <si>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</si>
  <si>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</si>
  <si>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</si>
  <si>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</si>
  <si>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</si>
  <si>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</si>
  <si>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</si>
  <si>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</si>
  <si>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</si>
  <si>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</si>
  <si>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</si>
  <si>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</si>
  <si>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</si>
  <si>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</si>
  <si>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</si>
  <si>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</si>
  <si>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</si>
  <si>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</si>
  <si>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</si>
  <si>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</si>
  <si>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</si>
  <si>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</si>
  <si>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</si>
  <si>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</si>
  <si>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</si>
  <si>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</si>
  <si>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</si>
  <si>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</si>
  <si>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</si>
  <si>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</si>
  <si>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</si>
  <si>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</si>
  <si>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</si>
  <si>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</si>
  <si>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</si>
  <si>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</si>
  <si>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</si>
  <si>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</si>
  <si>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</si>
  <si>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</si>
  <si>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</si>
  <si>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</si>
  <si>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</si>
  <si>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</si>
  <si>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</si>
  <si>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</si>
  <si>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</si>
  <si>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</si>
  <si>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</si>
  <si>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</si>
  <si>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</si>
  <si>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</si>
  <si>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</si>
  <si>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</si>
  <si>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</si>
  <si>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</si>
  <si>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</si>
  <si>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</si>
  <si>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</si>
  <si>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</si>
  <si>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</si>
  <si>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</si>
  <si>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</si>
  <si>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</si>
  <si>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</si>
  <si>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</si>
  <si>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</si>
  <si>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</si>
  <si>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</si>
  <si>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</si>
  <si>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</si>
  <si>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</si>
  <si>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</si>
  <si>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</si>
  <si>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</si>
  <si>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</si>
  <si>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</si>
  <si>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</si>
  <si>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</si>
  <si>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</si>
  <si>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</si>
  <si>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</si>
  <si>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</si>
  <si>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</si>
  <si>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</si>
  <si>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</si>
  <si>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</si>
  <si>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</si>
  <si>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</si>
  <si>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</si>
  <si>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</si>
  <si>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</si>
  <si>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</si>
  <si>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</si>
  <si>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</si>
  <si>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</si>
  <si>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</si>
  <si>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</si>
  <si>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</si>
  <si>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</si>
  <si>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</si>
  <si>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</si>
  <si>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</si>
  <si>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</si>
  <si>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</si>
  <si>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</si>
  <si>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</si>
  <si>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</si>
  <si>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</si>
  <si>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</si>
  <si>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</si>
  <si>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</si>
  <si>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</si>
  <si>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</si>
  <si>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</si>
  <si>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</si>
  <si>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</si>
  <si>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</si>
  <si>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</si>
  <si>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</si>
  <si>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</si>
  <si>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</si>
  <si>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</si>
  <si>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</si>
  <si>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</si>
  <si>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</si>
  <si>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</si>
  <si>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</si>
  <si>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</si>
  <si>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</si>
  <si>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</si>
  <si>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</si>
  <si>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</si>
  <si>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</si>
  <si>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</si>
  <si>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</si>
  <si>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</si>
  <si>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</si>
  <si>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</si>
  <si>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</si>
  <si>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</si>
  <si>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</si>
  <si>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</si>
  <si>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</si>
  <si>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</si>
  <si>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</si>
  <si>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</si>
  <si>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</si>
  <si>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</si>
  <si>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</si>
  <si>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</si>
  <si>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</si>
  <si>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</si>
  <si>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</si>
  <si>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</si>
  <si>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</si>
  <si>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</si>
  <si>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</si>
  <si>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</si>
  <si>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</si>
  <si>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</si>
  <si>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</si>
  <si>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</si>
  <si>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</si>
  <si>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</si>
  <si>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</si>
  <si>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</si>
  <si>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</si>
  <si>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</si>
  <si>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</si>
  <si>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</si>
  <si>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</si>
  <si>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</si>
  <si>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</si>
  <si>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</si>
  <si>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</si>
  <si>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</si>
  <si>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</si>
  <si>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</si>
  <si>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</si>
  <si>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</si>
  <si>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</si>
  <si>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</si>
  <si>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</si>
  <si>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</si>
  <si>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</si>
  <si>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</si>
  <si>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</si>
  <si>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</si>
  <si>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</si>
  <si>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</si>
  <si>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</si>
  <si>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</si>
  <si>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</si>
  <si>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</si>
  <si>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</si>
  <si>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</si>
  <si>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</si>
  <si>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</si>
  <si>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</si>
  <si>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</si>
  <si>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</si>
  <si>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</si>
  <si>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</si>
  <si>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</si>
  <si>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</si>
  <si>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</si>
  <si>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</si>
  <si>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</si>
  <si>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</si>
  <si>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</si>
  <si>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</si>
  <si>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</si>
  <si>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</si>
  <si>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</si>
  <si>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</si>
  <si>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</si>
  <si>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</si>
  <si>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</si>
  <si>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</si>
  <si>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</si>
  <si>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</si>
  <si>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</si>
  <si>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</si>
  <si>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</si>
  <si>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</si>
  <si>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</si>
  <si>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</si>
  <si>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</si>
  <si>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</si>
  <si>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</si>
  <si>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</si>
  <si>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</si>
  <si>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</si>
  <si>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</si>
  <si>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</si>
  <si>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</si>
  <si>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</si>
  <si>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</si>
  <si>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</si>
  <si>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</si>
  <si>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</si>
  <si>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</si>
  <si>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</si>
  <si>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</si>
  <si>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</si>
  <si>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</si>
  <si>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</si>
  <si>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</si>
  <si>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</si>
  <si>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</si>
  <si>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</si>
  <si>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</si>
  <si>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</si>
  <si>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</si>
  <si>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</si>
  <si>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</si>
  <si>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</si>
  <si>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</si>
  <si>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</si>
  <si>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</si>
  <si>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</si>
  <si>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</si>
  <si>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</si>
  <si>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</si>
  <si>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</si>
  <si>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</si>
  <si>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</si>
  <si>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</si>
  <si>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</si>
  <si>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</si>
  <si>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</si>
  <si>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</si>
  <si>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</si>
  <si>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</si>
  <si>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</si>
  <si>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</si>
  <si>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</si>
  <si>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</si>
  <si>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</si>
  <si>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</si>
  <si>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</si>
  <si>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</si>
  <si>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</si>
  <si>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</si>
  <si>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</si>
  <si>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</si>
  <si>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</si>
  <si>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</si>
  <si>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</si>
  <si>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</si>
  <si>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</si>
  <si>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</si>
  <si>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</si>
  <si>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</si>
  <si>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</si>
  <si>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</si>
  <si>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</si>
  <si>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</si>
  <si>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</si>
  <si>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</si>
  <si>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</si>
  <si>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</si>
  <si>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</si>
  <si>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</si>
  <si>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</si>
  <si>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</si>
  <si>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</si>
  <si>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</si>
  <si>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</si>
  <si>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</si>
  <si>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</si>
  <si>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</si>
  <si>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</si>
  <si>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</si>
  <si>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</si>
  <si>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</si>
  <si>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</si>
  <si>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</si>
  <si>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</si>
  <si>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</si>
  <si>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</si>
  <si>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</si>
  <si>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</si>
  <si>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</si>
  <si>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</si>
  <si>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</si>
  <si>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</si>
  <si>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</si>
  <si>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</si>
  <si>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</si>
  <si>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</si>
  <si>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</si>
  <si>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</si>
  <si>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</si>
  <si>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</si>
  <si>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</si>
  <si>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</si>
  <si>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</si>
  <si>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</si>
  <si>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</si>
  <si>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</si>
  <si>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</si>
  <si>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</si>
  <si>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</si>
  <si>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</si>
  <si>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</si>
  <si>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</si>
  <si>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</si>
  <si>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</si>
  <si>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</si>
  <si>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</si>
  <si>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</si>
  <si>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</si>
  <si>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</si>
  <si>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</si>
  <si>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</si>
  <si>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</si>
  <si>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</si>
  <si>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</si>
  <si>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</si>
  <si>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</si>
  <si>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</si>
  <si>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</si>
  <si>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</si>
  <si>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</si>
  <si>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</si>
  <si>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</si>
  <si>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</si>
  <si>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</si>
  <si>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</si>
  <si>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</si>
  <si>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</si>
  <si>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</si>
  <si>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</si>
  <si>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</si>
  <si>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</si>
  <si>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</si>
  <si>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</si>
  <si>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</si>
  <si>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</si>
  <si>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</si>
  <si>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</si>
  <si>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</si>
  <si>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</si>
  <si>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</si>
  <si>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</si>
  <si>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</si>
  <si>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</si>
  <si>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</si>
  <si>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</si>
  <si>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</si>
  <si>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</si>
  <si>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</si>
  <si>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</si>
  <si>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</si>
  <si>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</si>
  <si>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</si>
  <si>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</si>
  <si>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</si>
  <si>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</si>
  <si>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</si>
  <si>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</si>
  <si>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</si>
  <si>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</si>
  <si>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</si>
  <si>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</si>
  <si>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</si>
  <si>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</si>
  <si>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</si>
  <si>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</si>
  <si>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</si>
  <si>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</si>
  <si>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</si>
  <si>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</si>
  <si>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</si>
  <si>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</si>
  <si>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</si>
  <si>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</si>
  <si>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</si>
  <si>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</si>
  <si>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</si>
  <si>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</si>
  <si>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</si>
  <si>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</si>
  <si>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</si>
  <si>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</si>
  <si>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</si>
  <si>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</si>
  <si>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</si>
  <si>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</si>
  <si>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</si>
  <si>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</si>
  <si>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</si>
  <si>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</si>
  <si>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</si>
  <si>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</si>
  <si>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</si>
  <si>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</si>
  <si>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</si>
  <si>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</si>
  <si>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</si>
  <si>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</si>
  <si>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</si>
  <si>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</si>
  <si>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</si>
  <si>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</si>
  <si>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</si>
  <si>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</si>
  <si>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</si>
  <si>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</si>
  <si>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</si>
  <si>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</si>
  <si>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</si>
  <si>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</si>
  <si>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</si>
  <si>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</si>
  <si>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</si>
  <si>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</si>
  <si>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</si>
  <si>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</si>
  <si>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</si>
  <si>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</si>
  <si>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</si>
  <si>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</si>
  <si>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</si>
  <si>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</si>
  <si>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</si>
  <si>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</si>
  <si>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</si>
  <si>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</si>
  <si>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</si>
  <si>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</si>
  <si>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</si>
  <si>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</si>
  <si>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</si>
  <si>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</si>
  <si>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</si>
  <si>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</si>
  <si>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</si>
  <si>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</si>
  <si>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</si>
  <si>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</si>
  <si>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</si>
  <si>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</si>
  <si>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</si>
  <si>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</si>
  <si>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</si>
  <si>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</si>
  <si>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</si>
  <si>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</si>
  <si>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</si>
  <si>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</si>
  <si>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</si>
  <si>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</si>
  <si>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</si>
  <si>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</si>
  <si>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</si>
  <si>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</si>
  <si>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</si>
  <si>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</si>
  <si>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</si>
  <si>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</si>
  <si>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</si>
  <si>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</si>
  <si>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</si>
  <si>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</si>
  <si>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</si>
  <si>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</si>
  <si>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</si>
  <si>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</si>
  <si>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</si>
  <si>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</si>
  <si>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</si>
  <si>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</si>
  <si>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</si>
  <si>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</si>
  <si>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</si>
  <si>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</si>
  <si>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</si>
  <si>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</si>
  <si>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</si>
  <si>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</si>
  <si>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</si>
  <si>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</si>
  <si>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</si>
  <si>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</si>
  <si>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</si>
  <si>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</si>
  <si>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</si>
  <si>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</si>
  <si>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</si>
  <si>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</si>
  <si>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</si>
  <si>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</si>
  <si>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</si>
  <si>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</si>
  <si>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</si>
  <si>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</si>
  <si>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</si>
  <si>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</si>
  <si>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</si>
  <si>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</si>
  <si>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</si>
  <si>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</si>
  <si>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</si>
  <si>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</si>
  <si>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</si>
  <si>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</si>
  <si>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</si>
  <si>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</si>
  <si>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</si>
  <si>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</si>
  <si>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</si>
  <si>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</si>
  <si>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</si>
  <si>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</si>
  <si>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</si>
  <si>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</si>
  <si>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</si>
  <si>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</si>
  <si>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</si>
  <si>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</si>
  <si>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</si>
  <si>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</si>
  <si>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</si>
  <si>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</si>
  <si>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</si>
  <si>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</si>
  <si>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</si>
  <si>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</si>
  <si>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</si>
  <si>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</si>
  <si>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</si>
  <si>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</si>
  <si>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</si>
  <si>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</si>
  <si>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</si>
  <si>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</si>
  <si>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</si>
  <si>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</si>
  <si>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</si>
  <si>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</si>
  <si>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</si>
  <si>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</si>
  <si>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</si>
  <si>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</si>
  <si>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</si>
  <si>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</si>
  <si>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</si>
  <si>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</si>
  <si>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</si>
  <si>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</si>
  <si>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</si>
  <si>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</si>
  <si>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</si>
  <si>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</si>
  <si>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</si>
  <si>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</si>
  <si>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</si>
  <si>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</si>
  <si>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</si>
  <si>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</si>
  <si>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</si>
  <si>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</si>
  <si>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</si>
  <si>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</si>
  <si>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</si>
  <si>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</si>
  <si>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</si>
  <si>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</si>
  <si>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</si>
  <si>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</si>
  <si>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</si>
  <si>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</si>
  <si>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</si>
  <si>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</si>
  <si>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</si>
  <si>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</si>
  <si>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</si>
  <si>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</si>
  <si>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</si>
  <si>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</si>
  <si>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</si>
  <si>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</si>
  <si>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</si>
  <si>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</si>
  <si>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</si>
  <si>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</si>
  <si>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</si>
  <si>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</si>
  <si>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</si>
  <si>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</si>
  <si>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</si>
  <si>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</si>
  <si>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</si>
  <si>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</si>
  <si>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</si>
  <si>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</si>
  <si>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</si>
  <si>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</si>
  <si>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</si>
  <si>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</si>
  <si>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</si>
  <si>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</si>
  <si>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</si>
  <si>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</si>
  <si>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</si>
  <si>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</si>
  <si>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</si>
  <si>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</si>
  <si>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</si>
  <si>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</si>
  <si>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</si>
  <si>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</si>
  <si>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</si>
  <si>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</si>
  <si>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</si>
  <si>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</si>
  <si>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</si>
  <si>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</si>
  <si>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</si>
  <si>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</si>
  <si>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</si>
  <si>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</si>
  <si>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</si>
  <si>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</si>
  <si>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</si>
  <si>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</si>
  <si>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</si>
  <si>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</si>
  <si>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</si>
  <si>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</si>
  <si>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</si>
  <si>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</si>
  <si>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</si>
  <si>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</si>
  <si>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</si>
  <si>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</si>
  <si>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</si>
  <si>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</si>
  <si>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</si>
  <si>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</si>
  <si>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</si>
  <si>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</si>
  <si>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</si>
  <si>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</si>
  <si>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</si>
  <si>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</si>
  <si>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</si>
  <si>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</si>
  <si>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</si>
  <si>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</si>
  <si>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</si>
  <si>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</si>
  <si>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</si>
  <si>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</si>
  <si>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</si>
  <si>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</si>
  <si>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</si>
  <si>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</si>
  <si>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</si>
  <si>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</si>
  <si>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</si>
  <si>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</si>
  <si>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</si>
  <si>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</si>
  <si>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</si>
  <si>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</si>
  <si>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</si>
  <si>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</si>
  <si>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</si>
  <si>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</si>
  <si>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</si>
  <si>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</si>
  <si>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</si>
  <si>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</si>
  <si>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</si>
  <si>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</si>
  <si>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</si>
  <si>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</si>
  <si>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</si>
  <si>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</si>
  <si>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</si>
  <si>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</si>
  <si>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</si>
  <si>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</si>
  <si>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</si>
  <si>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</si>
  <si>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</si>
  <si>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</si>
  <si>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</si>
  <si>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</si>
  <si>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</si>
  <si>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</si>
  <si>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</si>
  <si>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</si>
  <si>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</si>
  <si>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</si>
  <si>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</si>
  <si>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</si>
  <si>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</si>
  <si>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</si>
  <si>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</si>
  <si>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</si>
  <si>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</si>
  <si>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</si>
  <si>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</si>
  <si>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</si>
  <si>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</si>
  <si>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</si>
  <si>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</si>
  <si>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</si>
  <si>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</si>
  <si>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</si>
  <si>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</si>
  <si>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</si>
  <si>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</si>
  <si>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</si>
  <si>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</si>
  <si>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</si>
  <si>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</si>
  <si>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</si>
  <si>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</si>
  <si>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</si>
  <si>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</si>
  <si>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</si>
  <si>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</si>
  <si>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</si>
  <si>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</si>
  <si>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</si>
  <si>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</si>
  <si>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</si>
  <si>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</si>
  <si>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</si>
  <si>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</si>
  <si>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</si>
  <si>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</si>
  <si>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</si>
  <si>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</si>
  <si>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</si>
  <si>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</si>
  <si>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</si>
  <si>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</si>
  <si>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</si>
  <si>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</si>
  <si>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</si>
  <si>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</si>
  <si>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</si>
  <si>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</si>
  <si>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</si>
  <si>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</si>
  <si>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</si>
  <si>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</si>
  <si>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</si>
  <si>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</si>
  <si>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</si>
  <si>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</si>
  <si>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</si>
  <si>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</si>
  <si>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</si>
  <si>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</si>
  <si>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</si>
  <si>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</si>
  <si>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</si>
  <si>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</si>
  <si>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</si>
  <si>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</si>
  <si>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</si>
  <si>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</si>
  <si>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</si>
  <si>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</si>
  <si>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</si>
  <si>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</si>
  <si>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</si>
  <si>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</si>
  <si>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</si>
  <si>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</si>
  <si>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</si>
  <si>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</si>
  <si>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</si>
  <si>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</si>
  <si>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</si>
  <si>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</si>
  <si>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</si>
  <si>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</si>
  <si>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</si>
  <si>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</si>
  <si>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</si>
  <si>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</si>
  <si>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</si>
  <si>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</si>
  <si>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</si>
  <si>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</si>
  <si>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</si>
  <si>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</si>
  <si>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</si>
  <si>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</si>
  <si>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</si>
  <si>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</si>
  <si>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</si>
  <si>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</si>
  <si>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</si>
  <si>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</si>
  <si>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</si>
  <si>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</si>
  <si>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</si>
  <si>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</si>
  <si>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</si>
  <si>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</si>
  <si>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</si>
  <si>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</si>
  <si>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</si>
  <si>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</si>
  <si>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</si>
  <si>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</si>
  <si>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</si>
  <si>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</si>
  <si>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</si>
  <si>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</si>
  <si>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</si>
  <si>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</si>
  <si>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</si>
  <si>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</si>
  <si>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</si>
  <si>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</si>
  <si>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</si>
  <si>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</si>
  <si>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</si>
  <si>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</si>
  <si>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</si>
  <si>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</si>
  <si>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</si>
  <si>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</si>
  <si>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</si>
  <si>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</si>
  <si>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</si>
  <si>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</si>
  <si>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</si>
  <si>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</si>
  <si>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</si>
  <si>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</si>
  <si>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</si>
  <si>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</si>
  <si>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</si>
  <si>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</si>
  <si>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</si>
  <si>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</si>
  <si>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</si>
  <si>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</si>
  <si>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</si>
  <si>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</si>
  <si>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</si>
  <si>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</si>
  <si>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</si>
  <si>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</si>
  <si>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</si>
  <si>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</si>
  <si>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</si>
  <si>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</si>
  <si>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</si>
  <si>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</si>
  <si>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</si>
  <si>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</si>
  <si>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</si>
  <si>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</si>
  <si>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</si>
  <si>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</si>
  <si>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</si>
  <si>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</si>
  <si>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</si>
  <si>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</si>
  <si>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</si>
  <si>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</si>
  <si>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</si>
  <si>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</si>
  <si>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</si>
  <si>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</si>
  <si>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</si>
  <si>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</si>
  <si>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</si>
  <si>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</si>
  <si>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</si>
  <si>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</si>
  <si>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</si>
  <si>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</si>
  <si>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</si>
  <si>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</si>
  <si>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</si>
  <si>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</si>
  <si>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</si>
  <si>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</si>
  <si>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</si>
  <si>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</si>
  <si>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</si>
  <si>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</si>
  <si>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</si>
  <si>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</si>
  <si>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</si>
  <si>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</si>
  <si>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</si>
  <si>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</si>
  <si>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</si>
  <si>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</si>
  <si>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</si>
  <si>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</si>
  <si>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</si>
  <si>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</si>
  <si>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</si>
  <si>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</si>
  <si>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</si>
  <si>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</si>
  <si>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</si>
  <si>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</si>
  <si>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</si>
  <si>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</si>
  <si>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</si>
  <si>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</si>
  <si>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</si>
  <si>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</si>
  <si>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</si>
  <si>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</si>
  <si>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</si>
  <si>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</si>
  <si>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</si>
  <si>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</si>
  <si>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</si>
  <si>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</si>
  <si>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</si>
  <si>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</si>
  <si>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</si>
  <si>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</si>
  <si>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</si>
  <si>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</si>
  <si>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</si>
  <si>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</si>
  <si>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</si>
  <si>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</si>
  <si>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</si>
  <si>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</si>
  <si>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</si>
  <si>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</si>
  <si>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</si>
  <si>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</si>
  <si>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</si>
  <si>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</si>
  <si>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</si>
  <si>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</si>
  <si>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</si>
  <si>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</si>
  <si>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</si>
  <si>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</si>
  <si>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</si>
  <si>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</si>
  <si>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</si>
  <si>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</si>
  <si>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</si>
  <si>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</si>
  <si>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</si>
  <si>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</si>
  <si>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</si>
  <si>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</si>
  <si>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</si>
  <si>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</si>
  <si>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</si>
  <si>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</si>
  <si>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</si>
  <si>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</si>
  <si>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</si>
  <si>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</si>
  <si>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</si>
  <si>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</si>
  <si>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</si>
  <si>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</si>
  <si>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</si>
  <si>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</si>
  <si>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</si>
  <si>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</si>
  <si>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</si>
  <si>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</si>
  <si>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</si>
  <si>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</si>
  <si>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</si>
  <si>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</si>
  <si>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</si>
  <si>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</si>
  <si>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</si>
  <si>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</si>
  <si>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</si>
  <si>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</si>
  <si>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</si>
  <si>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</si>
  <si>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</si>
  <si>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</si>
  <si>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</si>
  <si>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</si>
  <si>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</si>
  <si>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</si>
  <si>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</si>
  <si>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</si>
  <si>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</si>
  <si>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</si>
  <si>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</si>
  <si>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</si>
  <si>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</si>
  <si>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</si>
  <si>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</si>
  <si>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</si>
  <si>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</si>
  <si>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</si>
  <si>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</si>
  <si>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</si>
  <si>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</si>
  <si>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</si>
  <si>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</si>
  <si>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</si>
  <si>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</si>
  <si>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</si>
  <si>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</si>
  <si>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</si>
  <si>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</si>
  <si>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</si>
  <si>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</si>
  <si>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</si>
  <si>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</si>
  <si>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</si>
  <si>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</si>
  <si>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</si>
  <si>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</si>
  <si>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</si>
  <si>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</si>
  <si>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</si>
  <si>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</si>
  <si>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</si>
  <si>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</si>
  <si>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</si>
  <si>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</si>
  <si>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</si>
  <si>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</si>
  <si>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</si>
  <si>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</si>
  <si>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</si>
  <si>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</si>
  <si>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</si>
  <si>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</si>
  <si>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</si>
  <si>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</si>
  <si>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</si>
  <si>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</si>
  <si>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</si>
  <si>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</si>
  <si>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</si>
  <si>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</si>
  <si>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</si>
  <si>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</si>
  <si>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</si>
  <si>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</si>
  <si>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</si>
  <si>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</si>
  <si>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</si>
  <si>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</si>
  <si>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</si>
  <si>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</si>
  <si>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</si>
  <si>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</si>
  <si>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</si>
  <si>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</si>
  <si>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</si>
  <si>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</si>
  <si>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</si>
  <si>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</si>
  <si>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</si>
  <si>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</si>
  <si>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</si>
  <si>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</si>
  <si>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</si>
  <si>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</si>
  <si>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</si>
  <si>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</si>
  <si>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</si>
  <si>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</si>
  <si>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</si>
  <si>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</si>
  <si>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</si>
  <si>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</si>
  <si>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</si>
  <si>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</si>
  <si>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</si>
  <si>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</si>
  <si>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</si>
  <si>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</si>
  <si>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</si>
  <si>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</si>
  <si>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</si>
  <si>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</si>
  <si>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</si>
  <si>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</si>
  <si>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</si>
  <si>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</si>
  <si>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</si>
  <si>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</si>
  <si>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</si>
  <si>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</si>
  <si>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</si>
  <si>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</si>
  <si>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</si>
  <si>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</si>
  <si>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</si>
  <si>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</si>
  <si>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</si>
  <si>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</si>
  <si>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</si>
  <si>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</si>
  <si>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</si>
  <si>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</si>
  <si>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</si>
  <si>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</si>
  <si>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</si>
  <si>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</si>
  <si>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</si>
  <si>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</si>
  <si>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</si>
  <si>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</si>
  <si>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</si>
  <si>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</si>
  <si>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</si>
  <si>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</si>
  <si>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</si>
  <si>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</si>
  <si>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</si>
  <si>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</si>
  <si>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</si>
  <si>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</si>
  <si>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</si>
  <si>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</si>
  <si>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</si>
  <si>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</si>
  <si>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</si>
  <si>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</si>
  <si>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</si>
  <si>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</si>
  <si>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</si>
  <si>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</si>
  <si>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</si>
  <si>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</si>
  <si>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</si>
  <si>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</si>
  <si>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</si>
  <si>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</si>
  <si>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</si>
  <si>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</si>
  <si>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</si>
  <si>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</si>
  <si>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</si>
  <si>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</si>
  <si>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</si>
  <si>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</si>
  <si>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</si>
  <si>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</si>
  <si>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</si>
  <si>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</si>
  <si>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</si>
  <si>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</si>
  <si>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</si>
  <si>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</si>
  <si>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</si>
  <si>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</si>
  <si>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</si>
  <si>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</si>
  <si>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</si>
  <si>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</si>
  <si>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</si>
  <si>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</si>
  <si>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</si>
  <si>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</si>
  <si>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</si>
  <si>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</si>
  <si>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</si>
  <si>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</si>
  <si>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</si>
  <si>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</si>
  <si>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</si>
  <si>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</si>
  <si>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</si>
  <si>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</si>
  <si>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</si>
  <si>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</si>
  <si>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</si>
  <si>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</si>
  <si>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</si>
  <si>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</si>
  <si>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</si>
  <si>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</si>
  <si>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</si>
  <si>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</si>
  <si>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</si>
  <si>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</si>
  <si>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</si>
  <si>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</si>
  <si>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</si>
  <si>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</si>
  <si>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</si>
  <si>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</si>
  <si>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</si>
  <si>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</si>
  <si>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</si>
  <si>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</si>
  <si>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</si>
  <si>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</si>
  <si>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</si>
  <si>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</si>
  <si>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</si>
  <si>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</si>
  <si>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</si>
  <si>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</si>
  <si>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</si>
  <si>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</si>
  <si>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</si>
  <si>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</si>
  <si>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</si>
  <si>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</si>
  <si>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</si>
  <si>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</si>
  <si>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</si>
  <si>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</si>
  <si>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</si>
  <si>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</si>
  <si>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</si>
  <si>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</si>
  <si>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</si>
  <si>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</si>
  <si>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</si>
  <si>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</si>
  <si>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</si>
  <si>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</si>
  <si>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</si>
  <si>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</si>
  <si>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</si>
  <si>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</si>
  <si>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</si>
  <si>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</si>
  <si>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</si>
  <si>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</si>
  <si>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</si>
  <si>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</si>
  <si>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</si>
  <si>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</si>
  <si>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</si>
  <si>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</si>
  <si>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</si>
  <si>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</si>
  <si>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</si>
  <si>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</si>
  <si>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</si>
  <si>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</si>
  <si>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</si>
  <si>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</si>
  <si>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</si>
  <si>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</si>
  <si>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</si>
  <si>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</si>
  <si>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</si>
  <si>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</si>
  <si>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</si>
  <si>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</si>
  <si>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</si>
  <si>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</si>
  <si>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</si>
  <si>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</si>
  <si>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</si>
  <si>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</si>
  <si>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</si>
  <si>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</si>
  <si>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</si>
  <si>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</si>
  <si>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</si>
  <si>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</si>
  <si>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</si>
  <si>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</si>
  <si>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</si>
  <si>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</si>
  <si>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</si>
  <si>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</si>
  <si>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</si>
  <si>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</si>
  <si>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</si>
  <si>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</si>
  <si>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</si>
  <si>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</si>
  <si>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</si>
  <si>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</si>
  <si>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</si>
  <si>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</si>
  <si>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</si>
  <si>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</si>
  <si>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</si>
  <si>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</si>
  <si>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</si>
  <si>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</si>
  <si>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</si>
  <si>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</si>
  <si>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</si>
  <si>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</si>
  <si>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</si>
  <si>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</si>
  <si>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</si>
  <si>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</si>
  <si>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</si>
  <si>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</si>
  <si>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</si>
  <si>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</si>
  <si>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</si>
  <si>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</si>
  <si>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</si>
  <si>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</si>
  <si>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</si>
  <si>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</si>
  <si>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</si>
  <si>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</si>
  <si>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</si>
  <si>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</si>
  <si>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</si>
  <si>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</si>
  <si>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</si>
  <si>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</si>
  <si>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</si>
  <si>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</si>
  <si>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</si>
  <si>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</si>
  <si>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</si>
  <si>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</si>
  <si>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</si>
  <si>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</si>
  <si>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</si>
  <si>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</si>
  <si>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</si>
  <si>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</si>
  <si>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</si>
  <si>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</si>
  <si>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</si>
  <si>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</si>
  <si>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</si>
  <si>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</si>
  <si>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</si>
  <si>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</si>
  <si>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</si>
  <si>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</si>
  <si>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</si>
  <si>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</si>
  <si>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</si>
  <si>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</si>
  <si>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</si>
  <si>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</si>
  <si>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</si>
  <si>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</si>
  <si>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</si>
  <si>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</si>
  <si>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</si>
  <si>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</si>
  <si>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</si>
  <si>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</si>
  <si>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</si>
  <si>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</si>
  <si>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</si>
  <si>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</si>
  <si>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</si>
  <si>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</si>
  <si>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</si>
  <si>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</si>
  <si>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</si>
  <si>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</si>
  <si>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</si>
  <si>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</si>
  <si>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</si>
  <si>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</si>
  <si>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</si>
  <si>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</si>
  <si>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</si>
  <si>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</si>
  <si>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</si>
  <si>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</si>
  <si>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</si>
  <si>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</si>
  <si>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</si>
  <si>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</si>
  <si>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</si>
  <si>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</si>
  <si>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</si>
  <si>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</si>
  <si>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</si>
  <si>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</si>
  <si>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</si>
  <si>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</si>
  <si>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</si>
  <si>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</si>
  <si>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</si>
  <si>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</si>
  <si>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</si>
  <si>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</si>
  <si>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</si>
  <si>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</si>
  <si>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</si>
  <si>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</si>
  <si>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</si>
  <si>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</si>
  <si>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</si>
  <si>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</si>
  <si>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</si>
  <si>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</si>
  <si>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</si>
  <si>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</si>
  <si>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</si>
  <si>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</si>
  <si>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</si>
  <si>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</si>
  <si>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</si>
  <si>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</si>
  <si>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</si>
  <si>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</si>
  <si>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</si>
  <si>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</si>
  <si>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</si>
  <si>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</si>
  <si>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</si>
  <si>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</si>
  <si>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</si>
  <si>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</si>
  <si>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</si>
  <si>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</si>
  <si>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</si>
  <si>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</si>
  <si>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</si>
  <si>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</si>
  <si>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</si>
  <si>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</si>
  <si>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</si>
  <si>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</si>
  <si>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</si>
  <si>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</si>
  <si>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</si>
  <si>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</si>
  <si>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</si>
  <si>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</si>
  <si>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</si>
  <si>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</si>
  <si>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</si>
  <si>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</si>
  <si>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</si>
  <si>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</si>
  <si>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</si>
  <si>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</si>
  <si>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</si>
  <si>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</si>
  <si>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</si>
  <si>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</si>
  <si>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</si>
  <si>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</si>
  <si>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</si>
  <si>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</si>
  <si>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</si>
  <si>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</si>
  <si>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</si>
  <si>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</si>
  <si>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</si>
  <si>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</si>
  <si>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</si>
  <si>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</si>
  <si>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</si>
  <si>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</si>
  <si>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</si>
  <si>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</si>
  <si>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</si>
  <si>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</si>
  <si>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</si>
  <si>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</si>
  <si>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</si>
  <si>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</si>
  <si>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</si>
  <si>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</si>
  <si>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</si>
  <si>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</si>
  <si>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</si>
  <si>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</si>
  <si>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</si>
  <si>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</si>
  <si>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</si>
  <si>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</si>
  <si>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</si>
  <si>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</si>
  <si>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</si>
  <si>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</si>
  <si>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</si>
  <si>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</si>
  <si>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</si>
  <si>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</si>
  <si>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</si>
  <si>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</si>
  <si>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</si>
  <si>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</si>
  <si>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</si>
  <si>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</si>
  <si>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</si>
  <si>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</si>
  <si>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</si>
  <si>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</si>
  <si>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</si>
  <si>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</si>
  <si>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</si>
  <si>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</si>
  <si>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</si>
  <si>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</si>
  <si>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</si>
  <si>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</si>
  <si>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</si>
  <si>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</si>
  <si>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</si>
  <si>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</si>
  <si>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</si>
  <si>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</si>
  <si>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</si>
  <si>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</si>
  <si>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</si>
  <si>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</si>
  <si>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</si>
  <si>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</si>
  <si>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</si>
  <si>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</si>
  <si>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</si>
  <si>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</si>
  <si>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</si>
  <si>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</si>
  <si>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</si>
  <si>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</si>
  <si>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</si>
  <si>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</si>
  <si>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</si>
  <si>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</si>
  <si>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</si>
  <si>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</si>
  <si>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</si>
  <si>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</si>
  <si>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</si>
  <si>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</si>
  <si>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</si>
  <si>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</si>
  <si>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</si>
  <si>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</si>
  <si>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</si>
  <si>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</si>
  <si>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</si>
  <si>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</si>
  <si>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</si>
  <si>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</si>
  <si>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</si>
  <si>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</si>
  <si>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</si>
  <si>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</si>
  <si>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</si>
  <si>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</si>
  <si>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</si>
  <si>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</si>
  <si>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</si>
  <si>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</si>
  <si>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</si>
  <si>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</si>
  <si>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</si>
  <si>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</si>
  <si>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</si>
  <si>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</si>
  <si>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</si>
  <si>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</si>
  <si>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</si>
  <si>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</si>
  <si>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</si>
  <si>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</si>
  <si>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</si>
  <si>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</si>
  <si>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</si>
  <si>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</si>
  <si>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</si>
  <si>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</si>
  <si>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</si>
  <si>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</si>
  <si>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</si>
  <si>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</si>
  <si>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</si>
  <si>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</si>
  <si>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</si>
  <si>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</si>
  <si>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</si>
  <si>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</si>
  <si>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</si>
  <si>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</si>
  <si>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</si>
  <si>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</si>
  <si>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</si>
  <si>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</si>
  <si>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</si>
  <si>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</si>
  <si>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</si>
  <si>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</si>
  <si>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</si>
  <si>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</si>
  <si>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</si>
  <si>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</si>
  <si>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</si>
  <si>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</si>
  <si>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</si>
  <si>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</si>
  <si>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</si>
  <si>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</si>
  <si>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</si>
  <si>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</si>
  <si>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</si>
  <si>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</si>
  <si>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</si>
  <si>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</si>
  <si>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</si>
  <si>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</si>
  <si>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</si>
  <si>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</si>
  <si>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</si>
  <si>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</si>
  <si>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</si>
  <si>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</si>
  <si>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</si>
  <si>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</si>
  <si>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</si>
  <si>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</si>
  <si>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</si>
  <si>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</si>
  <si>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</si>
  <si>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</si>
  <si>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</si>
  <si>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</si>
  <si>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</si>
  <si>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</si>
  <si>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</si>
  <si>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</si>
  <si>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</si>
  <si>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</si>
  <si>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</si>
  <si>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</si>
  <si>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</si>
  <si>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</si>
  <si>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</si>
  <si>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</si>
  <si>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</si>
  <si>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</si>
  <si>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</si>
  <si>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</si>
  <si>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</si>
  <si>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</si>
  <si>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</si>
  <si>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</si>
  <si>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</si>
  <si>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</si>
  <si>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</si>
  <si>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</si>
  <si>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</si>
  <si>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</si>
  <si>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</si>
  <si>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</si>
  <si>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</si>
  <si>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</si>
  <si>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</si>
  <si>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</si>
  <si>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</si>
  <si>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</si>
  <si>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</si>
  <si>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</si>
  <si>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</si>
  <si>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</si>
  <si>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</si>
  <si>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</si>
  <si>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</si>
  <si>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</si>
  <si>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</si>
  <si>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</si>
  <si>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</si>
  <si>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</si>
  <si>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</si>
  <si>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</si>
  <si>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</si>
  <si>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</si>
  <si>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</si>
  <si>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</si>
  <si>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</si>
  <si>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</si>
  <si>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</si>
  <si>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</si>
  <si>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</si>
  <si>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</si>
  <si>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</si>
  <si>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</si>
  <si>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</si>
  <si>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</si>
  <si>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</si>
  <si>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</si>
  <si>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</si>
  <si>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</si>
  <si>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</si>
  <si>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</si>
  <si>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</si>
  <si>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</si>
  <si>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</si>
  <si>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</si>
  <si>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</si>
  <si>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</si>
  <si>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</si>
  <si>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</si>
  <si>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</si>
  <si>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</si>
  <si>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</si>
  <si>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</si>
  <si>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</si>
  <si>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</si>
  <si>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</si>
  <si>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</si>
  <si>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</si>
  <si>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</si>
  <si>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</si>
  <si>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</si>
  <si>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</si>
  <si>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</si>
  <si>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</si>
  <si>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</si>
  <si>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</si>
  <si>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</si>
  <si>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</si>
  <si>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</si>
  <si>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</si>
  <si>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</si>
  <si>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</si>
  <si>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</si>
  <si>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</si>
  <si>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</si>
  <si>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</si>
  <si>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</si>
  <si>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</si>
  <si>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</si>
  <si>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</si>
  <si>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</si>
  <si>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</si>
  <si>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</si>
  <si>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</si>
  <si>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</si>
  <si>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</si>
  <si>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</si>
  <si>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</si>
  <si>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</si>
  <si>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</si>
  <si>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</si>
  <si>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</si>
  <si>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</si>
  <si>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</si>
  <si>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</si>
  <si>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</si>
  <si>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</si>
  <si>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</si>
  <si>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</si>
  <si>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</si>
  <si>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</si>
  <si>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</si>
  <si>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</si>
  <si>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</si>
  <si>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</si>
  <si>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</si>
  <si>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</si>
  <si>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</si>
  <si>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</si>
  <si>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</si>
  <si>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</si>
  <si>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</si>
  <si>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</si>
  <si>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</si>
  <si>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</si>
  <si>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</si>
  <si>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</si>
  <si>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</si>
  <si>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</si>
  <si>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</si>
  <si>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</si>
  <si>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</si>
  <si>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</si>
  <si>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</si>
  <si>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</si>
  <si>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</si>
  <si>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</si>
  <si>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</si>
  <si>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</si>
  <si>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</si>
  <si>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</si>
  <si>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</si>
  <si>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</si>
  <si>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</si>
  <si>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</si>
  <si>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</si>
  <si>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</si>
  <si>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</si>
  <si>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</si>
  <si>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</si>
  <si>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</si>
  <si>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</si>
  <si>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</si>
  <si>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</si>
  <si>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</si>
  <si>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</si>
  <si>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</si>
  <si>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</si>
  <si>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</si>
  <si>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</si>
  <si>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</si>
  <si>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</si>
  <si>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</si>
  <si>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</si>
  <si>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</si>
  <si>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</si>
  <si>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</si>
  <si>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</si>
  <si>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</si>
  <si>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</si>
  <si>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</si>
  <si>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</si>
  <si>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</si>
  <si>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</si>
  <si>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</si>
  <si>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</si>
  <si>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</si>
  <si>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</si>
  <si>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</si>
  <si>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</si>
  <si>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</si>
  <si>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</si>
  <si>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</si>
  <si>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</si>
  <si>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</si>
  <si>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</si>
  <si>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</si>
  <si>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</si>
  <si>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</si>
  <si>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</si>
  <si>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</si>
  <si>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</si>
  <si>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</si>
  <si>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</si>
  <si>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</si>
  <si>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</si>
  <si>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</si>
  <si>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</si>
  <si>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</si>
  <si>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</si>
  <si>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</si>
  <si>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</si>
  <si>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</si>
  <si>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</si>
  <si>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</si>
  <si>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</si>
  <si>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</si>
  <si>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</si>
  <si>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</si>
  <si>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</si>
  <si>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</si>
  <si>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</si>
  <si>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</si>
  <si>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</si>
  <si>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</si>
  <si>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</si>
  <si>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</si>
  <si>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</si>
  <si>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</si>
  <si>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</si>
  <si>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</si>
  <si>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</si>
  <si>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</si>
  <si>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</si>
  <si>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</si>
  <si>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</si>
  <si>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</si>
  <si>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</si>
  <si>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</si>
  <si>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</si>
  <si>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</si>
  <si>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</si>
  <si>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</si>
  <si>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</si>
  <si>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</si>
  <si>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</si>
  <si>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</si>
  <si>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</si>
  <si>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</si>
  <si>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</si>
  <si>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</si>
  <si>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</si>
  <si>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</si>
  <si>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</si>
  <si>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</si>
  <si>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</si>
  <si>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</si>
  <si>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</si>
  <si>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</si>
  <si>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</si>
  <si>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</si>
  <si>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</si>
  <si>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</si>
  <si>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</si>
  <si>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</si>
  <si>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</si>
  <si>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</si>
  <si>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</si>
  <si>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</si>
  <si>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</si>
  <si>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</si>
  <si>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</si>
  <si>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</si>
  <si>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</si>
  <si>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</si>
  <si>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</si>
  <si>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</si>
  <si>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</si>
  <si>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</si>
  <si>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</si>
  <si>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</si>
  <si>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</si>
  <si>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</si>
  <si>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</si>
  <si>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</si>
  <si>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</si>
  <si>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</si>
  <si>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</si>
  <si>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</si>
  <si>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</si>
  <si>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</si>
  <si>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</si>
  <si>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</si>
  <si>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</si>
  <si>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</si>
  <si>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</si>
  <si>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</si>
  <si>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</si>
  <si>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</si>
  <si>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</si>
  <si>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</si>
  <si>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</si>
  <si>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</si>
  <si>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</si>
  <si>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</si>
  <si>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</si>
  <si>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</si>
  <si>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</si>
  <si>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</si>
  <si>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</si>
  <si>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</si>
  <si>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</si>
  <si>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</si>
  <si>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</si>
  <si>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</si>
  <si>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</si>
  <si>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</si>
  <si>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</si>
  <si>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</si>
  <si>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</si>
  <si>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</si>
  <si>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</si>
  <si>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</si>
  <si>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</si>
  <si>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</si>
  <si>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</si>
  <si>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</si>
  <si>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</si>
  <si>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</si>
  <si>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</si>
  <si>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</si>
  <si>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</si>
  <si>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</si>
  <si>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</si>
  <si>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</si>
  <si>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</si>
  <si>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</si>
  <si>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</si>
  <si>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</si>
  <si>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</si>
  <si>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</si>
  <si>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</si>
  <si>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</si>
  <si>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</si>
  <si>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</si>
  <si>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</si>
  <si>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</si>
  <si>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</si>
  <si>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</si>
  <si>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</si>
  <si>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</si>
  <si>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</si>
  <si>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</si>
  <si>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</si>
  <si>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</si>
  <si>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</si>
  <si>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</si>
  <si>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</si>
  <si>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</si>
  <si>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</si>
  <si>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</si>
  <si>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</si>
  <si>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</si>
  <si>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</si>
  <si>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</si>
  <si>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</si>
  <si>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</si>
  <si>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</si>
  <si>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</si>
  <si>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</si>
  <si>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</si>
  <si>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</si>
  <si>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</si>
  <si>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</si>
  <si>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</si>
  <si>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</si>
  <si>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</si>
  <si>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</si>
  <si>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</si>
  <si>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</si>
  <si>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</si>
  <si>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</si>
  <si>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</si>
  <si>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</si>
  <si>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</si>
  <si>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</si>
  <si>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</si>
  <si>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</si>
  <si>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</si>
  <si>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</si>
  <si>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</si>
  <si>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</si>
  <si>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</si>
  <si>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</si>
  <si>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</si>
  <si>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</si>
  <si>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</si>
  <si>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</si>
  <si>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</si>
  <si>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</si>
  <si>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</si>
  <si>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</si>
  <si>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</si>
  <si>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</si>
  <si>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</si>
  <si>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</si>
  <si>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</si>
  <si>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</si>
  <si>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</si>
  <si>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</si>
  <si>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</si>
  <si>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</si>
  <si>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</si>
  <si>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</si>
  <si>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</si>
  <si>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</si>
  <si>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</si>
  <si>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</si>
  <si>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</si>
  <si>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</si>
  <si>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</si>
  <si>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</si>
  <si>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</si>
  <si>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</si>
  <si>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</si>
  <si>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</si>
  <si>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</si>
  <si>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</si>
  <si>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</si>
  <si>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</si>
  <si>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</si>
  <si>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</si>
  <si>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</si>
  <si>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</si>
  <si>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</si>
  <si>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</si>
  <si>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</si>
  <si>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</si>
  <si>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</si>
  <si>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</si>
  <si>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</si>
  <si>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</si>
  <si>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</si>
  <si>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</si>
  <si>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</si>
  <si>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</si>
  <si>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</si>
  <si>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</si>
  <si>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</si>
  <si>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</si>
  <si>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</si>
  <si>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</si>
  <si>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</si>
  <si>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</si>
  <si>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</si>
  <si>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</si>
  <si>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</si>
  <si>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</si>
  <si>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</si>
  <si>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</si>
  <si>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</si>
  <si>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</si>
  <si>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</si>
  <si>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</si>
  <si>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</si>
  <si>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</si>
  <si>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</si>
  <si>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</si>
  <si>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</si>
  <si>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</si>
  <si>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</si>
  <si>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</si>
  <si>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</si>
  <si>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</si>
  <si>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</si>
  <si>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</si>
  <si>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</si>
  <si>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</si>
  <si>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</si>
  <si>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</si>
  <si>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</si>
  <si>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</si>
  <si>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</si>
  <si>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</si>
  <si>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</si>
  <si>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</si>
  <si>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</si>
  <si>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</si>
  <si>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</si>
  <si>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</si>
  <si>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</si>
  <si>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</si>
  <si>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</si>
  <si>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</si>
  <si>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</si>
  <si>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</si>
  <si>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</si>
  <si>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</si>
  <si>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</si>
  <si>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</si>
  <si>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</si>
  <si>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</si>
  <si>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</si>
  <si>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</si>
  <si>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</si>
  <si>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</si>
  <si>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</si>
  <si>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</si>
  <si>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</si>
  <si>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</si>
  <si>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</si>
  <si>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</si>
  <si>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</si>
  <si>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</si>
  <si>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</si>
  <si>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</si>
  <si>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</si>
  <si>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</si>
  <si>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</si>
  <si>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</si>
  <si>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</si>
  <si>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</si>
  <si>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</si>
  <si>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</si>
  <si>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</si>
  <si>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</si>
  <si>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</si>
  <si>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</si>
  <si>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</si>
  <si>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</si>
  <si>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</si>
  <si>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</si>
  <si>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</si>
  <si>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</si>
  <si>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</si>
  <si>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</si>
  <si>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</si>
  <si>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</si>
  <si>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</si>
  <si>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</si>
  <si>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</si>
  <si>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</si>
  <si>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</si>
  <si>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</si>
  <si>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</si>
  <si>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</si>
  <si>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</si>
  <si>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</si>
  <si>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</si>
  <si>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</si>
  <si>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</si>
  <si>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</si>
  <si>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</si>
  <si>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</si>
  <si>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</si>
  <si>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</si>
  <si>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</si>
  <si>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</si>
  <si>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</si>
  <si>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</si>
  <si>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</si>
  <si>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</si>
  <si>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</si>
  <si>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</si>
  <si>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</si>
  <si>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</si>
  <si>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</si>
  <si>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</si>
  <si>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</si>
  <si>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</si>
  <si>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</si>
  <si>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</si>
  <si>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</si>
  <si>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</si>
  <si>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</si>
  <si>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</si>
  <si>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</si>
  <si>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</si>
  <si>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</si>
  <si>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</si>
  <si>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</si>
  <si>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</si>
  <si>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</si>
  <si>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</si>
  <si>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</si>
  <si>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</si>
  <si>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</si>
  <si>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</si>
  <si>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</si>
  <si>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</si>
  <si>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</si>
  <si>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</si>
  <si>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</si>
  <si>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</si>
  <si>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</si>
  <si>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</si>
  <si>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</si>
  <si>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</si>
  <si>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</si>
  <si>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</si>
  <si>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</si>
  <si>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</si>
  <si>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</si>
  <si>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</si>
  <si>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</si>
  <si>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</si>
  <si>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</si>
  <si>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</si>
  <si>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</si>
  <si>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</si>
  <si>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</si>
  <si>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</si>
  <si>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</si>
  <si>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</si>
  <si>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</si>
  <si>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</si>
  <si>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</si>
  <si>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</si>
  <si>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</si>
  <si>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</si>
  <si>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</si>
  <si>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</si>
  <si>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</si>
  <si>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</si>
  <si>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</si>
  <si>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</si>
  <si>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</si>
  <si>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</si>
  <si>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</si>
  <si>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</si>
  <si>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</si>
  <si>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</si>
  <si>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</si>
  <si>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</si>
  <si>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</si>
  <si>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</si>
  <si>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</si>
  <si>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</si>
  <si>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</si>
  <si>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</si>
  <si>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</si>
  <si>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</si>
  <si>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</si>
  <si>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</si>
  <si>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</si>
  <si>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</si>
  <si>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</si>
  <si>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</si>
  <si>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</si>
  <si>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</si>
  <si>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</si>
  <si>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</si>
  <si>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</si>
  <si>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</si>
  <si>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</si>
  <si>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</si>
  <si>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</si>
  <si>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</si>
  <si>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</si>
  <si>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</si>
  <si>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</si>
  <si>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</si>
  <si>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</si>
  <si>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</si>
  <si>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</si>
  <si>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</si>
  <si>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</si>
  <si>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</si>
  <si>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</si>
  <si>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</si>
  <si>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</si>
  <si>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</si>
  <si>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</si>
  <si>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</si>
  <si>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</si>
  <si>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</si>
  <si>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</si>
  <si>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</si>
  <si>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</si>
  <si>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</si>
  <si>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</si>
  <si>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</si>
  <si>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</si>
  <si>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</si>
  <si>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</si>
  <si>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</si>
  <si>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</si>
  <si>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</si>
  <si>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</si>
  <si>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</si>
  <si>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</si>
  <si>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</si>
  <si>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</si>
  <si>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</si>
  <si>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</si>
  <si>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</si>
  <si>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</si>
  <si>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</si>
  <si>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</si>
  <si>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</si>
  <si>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</si>
  <si>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</si>
  <si>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</si>
  <si>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</si>
  <si>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</si>
  <si>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</si>
  <si>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</si>
  <si>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</si>
  <si>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</si>
  <si>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</si>
  <si>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</si>
  <si>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</si>
  <si>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</si>
  <si>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</si>
  <si>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</si>
  <si>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</si>
  <si>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</si>
  <si>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</si>
  <si>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</si>
  <si>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</si>
  <si>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</si>
  <si>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</si>
  <si>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</si>
  <si>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</si>
  <si>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</si>
  <si>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</si>
  <si>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</si>
  <si>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</si>
  <si>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</si>
  <si>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</si>
  <si>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</si>
  <si>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</si>
  <si>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</si>
  <si>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</si>
  <si>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</si>
  <si>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</si>
  <si>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</si>
  <si>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</si>
  <si>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</si>
  <si>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</si>
  <si>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</si>
  <si>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</si>
  <si>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</si>
  <si>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</si>
  <si>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</si>
  <si>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</si>
  <si>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</si>
  <si>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</si>
  <si>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</si>
  <si>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</si>
  <si>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</si>
  <si>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</si>
  <si>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</si>
  <si>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</si>
  <si>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</si>
  <si>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</si>
  <si>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</si>
  <si>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</si>
  <si>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</si>
  <si>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</si>
  <si>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</si>
  <si>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</si>
  <si>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</si>
  <si>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</si>
  <si>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</si>
  <si>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</si>
  <si>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</si>
  <si>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</si>
  <si>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</si>
  <si>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</si>
  <si>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</si>
  <si>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</si>
  <si>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</si>
  <si>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</si>
  <si>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</si>
  <si>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</si>
  <si>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</si>
  <si>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</si>
  <si>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</si>
  <si>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</si>
  <si>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</si>
  <si>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</si>
  <si>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</si>
  <si>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</si>
  <si>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</si>
  <si>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</si>
  <si>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</si>
  <si>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</si>
  <si>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</si>
  <si>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</si>
  <si>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</si>
  <si>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</si>
  <si>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</si>
  <si>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</si>
  <si>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</si>
  <si>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</si>
  <si>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</si>
  <si>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</si>
  <si>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</si>
  <si>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</si>
  <si>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</si>
  <si>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</si>
  <si>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</si>
  <si>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</si>
  <si>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</si>
  <si>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</si>
  <si>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</si>
  <si>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</si>
  <si>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</si>
  <si>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</si>
  <si>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</si>
  <si>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</si>
  <si>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</si>
  <si>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</si>
  <si>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</si>
  <si>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</si>
  <si>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</si>
  <si>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</si>
  <si>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</si>
  <si>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</si>
  <si>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</si>
  <si>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</si>
  <si>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</si>
  <si>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</si>
  <si>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</si>
  <si>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</si>
  <si>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</si>
  <si>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</si>
  <si>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</si>
  <si>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</si>
  <si>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</si>
  <si>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</si>
  <si>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</si>
  <si>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</si>
  <si>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</si>
  <si>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</si>
  <si>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</si>
  <si>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</si>
  <si>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</si>
  <si>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</si>
  <si>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</si>
  <si>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</si>
  <si>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</si>
  <si>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</si>
  <si>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</si>
  <si>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</si>
  <si>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</si>
  <si>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</si>
  <si>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</si>
  <si>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</si>
  <si>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</si>
  <si>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</si>
  <si>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</si>
  <si>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</si>
  <si>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</si>
  <si>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</si>
  <si>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</si>
  <si>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</si>
  <si>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</si>
  <si>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</si>
  <si>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</si>
  <si>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</si>
  <si>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</si>
  <si>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</si>
  <si>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</si>
  <si>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</si>
  <si>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</si>
  <si>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</si>
  <si>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</si>
  <si>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</si>
  <si>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</si>
  <si>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</si>
  <si>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</si>
  <si>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</si>
  <si>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</si>
  <si>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</si>
  <si>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</si>
  <si>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</si>
  <si>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</si>
  <si>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</si>
  <si>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</si>
  <si>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</si>
  <si>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</si>
  <si>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</si>
  <si>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</si>
  <si>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</si>
  <si>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</si>
  <si>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</si>
  <si>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</si>
  <si>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</si>
  <si>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</si>
  <si>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</si>
  <si>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</si>
  <si>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</si>
  <si>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</si>
  <si>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</si>
  <si>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</si>
  <si>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</si>
  <si>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</si>
  <si>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</si>
  <si>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</si>
  <si>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</si>
  <si>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</si>
  <si>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</si>
  <si>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</si>
  <si>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</si>
  <si>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</si>
  <si>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</si>
  <si>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</si>
  <si>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</si>
  <si>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</si>
  <si>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</si>
  <si>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</si>
  <si>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</si>
  <si>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</si>
  <si>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</si>
  <si>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</si>
  <si>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</si>
  <si>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</si>
  <si>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</si>
  <si>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</si>
  <si>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</si>
  <si>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</si>
  <si>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</si>
  <si>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</si>
  <si>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</si>
  <si>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</si>
  <si>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</si>
  <si>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</si>
  <si>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</si>
  <si>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</si>
  <si>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</si>
  <si>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</si>
  <si>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</si>
  <si>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</si>
  <si>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</si>
  <si>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</si>
  <si>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</si>
  <si>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</si>
  <si>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</si>
  <si>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</si>
  <si>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</si>
  <si>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</si>
  <si>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</si>
  <si>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</si>
  <si>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</si>
  <si>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</si>
  <si>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</si>
  <si>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</si>
  <si>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</si>
  <si>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</si>
  <si>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</si>
  <si>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</si>
  <si>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</si>
  <si>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</si>
  <si>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</si>
  <si>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</si>
  <si>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</si>
  <si>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</si>
  <si>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</si>
  <si>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</si>
  <si>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</si>
  <si>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</si>
  <si>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</si>
  <si>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</si>
  <si>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</si>
  <si>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</si>
  <si>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</si>
  <si>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</si>
  <si>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</si>
  <si>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</si>
  <si>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</si>
  <si>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</si>
  <si>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</si>
  <si>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</si>
  <si>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</si>
  <si>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</si>
  <si>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</si>
  <si>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</si>
  <si>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</si>
  <si>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</si>
  <si>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</si>
  <si>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</si>
  <si>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</si>
  <si>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</si>
  <si>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</si>
  <si>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</si>
  <si>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</si>
  <si>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</si>
  <si>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</si>
  <si>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</si>
  <si>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</si>
  <si>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</si>
  <si>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</si>
  <si>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</si>
  <si>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</si>
  <si>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</si>
  <si>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</si>
  <si>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</si>
  <si>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</si>
  <si>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</si>
  <si>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</si>
  <si>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</si>
  <si>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</si>
  <si>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</si>
  <si>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</si>
  <si>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</si>
  <si>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</si>
  <si>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</si>
  <si>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</si>
  <si>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</si>
  <si>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</si>
  <si>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</si>
  <si>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</si>
  <si>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</si>
  <si>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</si>
  <si>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</si>
  <si>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</si>
  <si>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</si>
  <si>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</si>
  <si>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</si>
  <si>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</si>
  <si>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</si>
  <si>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</si>
  <si>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</si>
  <si>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</si>
  <si>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</si>
  <si>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</si>
  <si>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</si>
  <si>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</si>
  <si>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</si>
  <si>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</si>
  <si>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</si>
  <si>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</si>
  <si>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</si>
  <si>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</si>
  <si>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</si>
  <si>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</si>
  <si>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</si>
  <si>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</si>
  <si>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</si>
  <si>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</si>
  <si>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</si>
  <si>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</si>
  <si>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</si>
  <si>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</si>
  <si>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</si>
  <si>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</si>
  <si>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</si>
  <si>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</si>
  <si>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</si>
  <si>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</si>
  <si>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</si>
  <si>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</si>
  <si>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</si>
  <si>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</si>
  <si>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</si>
  <si>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</si>
  <si>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</si>
  <si>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</si>
  <si>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</si>
  <si>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</si>
  <si>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</si>
  <si>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</si>
  <si>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</si>
  <si>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</si>
  <si>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</si>
  <si>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</si>
  <si>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</si>
  <si>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</si>
  <si>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</si>
  <si>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</si>
  <si>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</si>
  <si>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</si>
  <si>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</si>
  <si>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</si>
  <si>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</si>
  <si>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</si>
  <si>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</si>
  <si>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</si>
  <si>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</si>
  <si>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</si>
  <si>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</si>
  <si>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</si>
  <si>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</si>
  <si>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</si>
  <si>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</si>
  <si>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</si>
  <si>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</si>
  <si>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</si>
  <si>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</si>
  <si>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</si>
  <si>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</si>
  <si>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</si>
  <si>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</si>
  <si>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</si>
  <si>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</si>
  <si>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</si>
  <si>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</si>
  <si>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</si>
  <si>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</si>
  <si>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</si>
  <si>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</si>
  <si>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</si>
  <si>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</si>
  <si>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</si>
  <si>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</si>
  <si>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</si>
  <si>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</si>
  <si>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</si>
  <si>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</si>
  <si>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</si>
  <si>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</si>
  <si>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</si>
  <si>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</si>
  <si>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</si>
  <si>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</si>
  <si>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</si>
  <si>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</si>
  <si>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</si>
  <si>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</si>
  <si>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</si>
  <si>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</si>
  <si>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</si>
  <si>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</si>
  <si>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</si>
  <si>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</si>
  <si>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</si>
  <si>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</si>
  <si>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</si>
  <si>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</si>
  <si>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</si>
  <si>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</si>
  <si>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</si>
  <si>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</si>
  <si>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</si>
  <si>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</si>
  <si>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</si>
  <si>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</si>
  <si>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</si>
  <si>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</si>
  <si>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</si>
  <si>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</si>
  <si>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</si>
  <si>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</si>
  <si>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</si>
  <si>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</si>
  <si>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</si>
  <si>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</si>
  <si>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</si>
  <si>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</si>
  <si>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</si>
  <si>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</si>
  <si>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</si>
  <si>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</si>
  <si>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</si>
  <si>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</si>
  <si>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</si>
  <si>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</si>
  <si>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</si>
  <si>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</si>
  <si>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</si>
  <si>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</si>
  <si>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</si>
  <si>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</si>
  <si>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</si>
  <si>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</si>
  <si>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</si>
  <si>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</si>
  <si>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</si>
  <si>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</si>
  <si>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</si>
  <si>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</si>
  <si>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</si>
  <si>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</si>
  <si>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</si>
  <si>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</si>
  <si>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</si>
  <si>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</si>
  <si>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</si>
  <si>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</si>
  <si>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</si>
  <si>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</si>
  <si>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</si>
  <si>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</si>
  <si>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</si>
  <si>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</si>
  <si>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</si>
  <si>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</si>
  <si>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</si>
  <si>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</si>
  <si>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</si>
  <si>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</si>
  <si>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</si>
  <si>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</si>
  <si>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</si>
  <si>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</si>
  <si>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</si>
  <si>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</si>
  <si>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</si>
  <si>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</si>
  <si>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</si>
  <si>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</si>
  <si>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</si>
  <si>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</si>
  <si>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</si>
  <si>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</si>
  <si>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</si>
  <si>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</si>
  <si>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</si>
  <si>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</si>
  <si>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</si>
  <si>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</si>
  <si>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</si>
  <si>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</si>
  <si>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</si>
  <si>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</si>
  <si>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</si>
  <si>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</si>
  <si>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</si>
  <si>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</si>
  <si>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</si>
  <si>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</si>
  <si>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</si>
  <si>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</si>
  <si>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</si>
  <si>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</si>
  <si>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</si>
  <si>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</si>
  <si>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</si>
  <si>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</si>
  <si>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</si>
  <si>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</si>
  <si>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</si>
  <si>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</si>
  <si>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</si>
  <si>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</si>
  <si>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</si>
  <si>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</si>
  <si>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</si>
  <si>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</si>
  <si>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</si>
  <si>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</si>
  <si>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</si>
  <si>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</si>
  <si>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</si>
  <si>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</si>
  <si>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</si>
  <si>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</si>
  <si>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</si>
  <si>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</si>
  <si>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</si>
  <si>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</si>
  <si>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</si>
  <si>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</si>
  <si>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</si>
  <si>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</si>
  <si>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</si>
  <si>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</si>
  <si>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</si>
  <si>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</si>
  <si>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</si>
  <si>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</si>
  <si>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</si>
  <si>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</si>
  <si>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</si>
  <si>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</si>
  <si>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</si>
  <si>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</si>
  <si>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</si>
  <si>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</si>
  <si>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</si>
  <si>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</si>
  <si>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</si>
  <si>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</si>
  <si>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</si>
  <si>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</si>
  <si>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</si>
  <si>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</si>
  <si>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</si>
  <si>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</si>
  <si>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</si>
  <si>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</si>
  <si>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</si>
  <si>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</si>
  <si>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</si>
  <si>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</si>
  <si>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</si>
  <si>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</si>
  <si>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</si>
  <si>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</si>
  <si>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</si>
  <si>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</si>
  <si>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</si>
  <si>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</si>
  <si>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</si>
  <si>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</si>
  <si>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</si>
  <si>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</si>
  <si>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</si>
  <si>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</si>
  <si>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</si>
  <si>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</si>
  <si>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</si>
  <si>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</si>
  <si>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</si>
  <si>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</si>
  <si>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</si>
  <si>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</si>
  <si>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</si>
  <si>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</si>
  <si>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</si>
  <si>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</si>
  <si>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</si>
  <si>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</si>
  <si>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</si>
  <si>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</si>
  <si>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</si>
  <si>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</si>
  <si>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</si>
  <si>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</si>
  <si>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</si>
  <si>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</si>
  <si>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</si>
  <si>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</si>
  <si>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</si>
  <si>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</si>
  <si>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</si>
  <si>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</si>
  <si>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</si>
  <si>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</si>
  <si>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</si>
  <si>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</si>
  <si>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</si>
  <si>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</si>
  <si>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</si>
  <si>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</si>
  <si>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</si>
  <si>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</si>
  <si>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</si>
  <si>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</si>
  <si>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</si>
  <si>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</si>
  <si>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</si>
  <si>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</si>
  <si>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</si>
  <si>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</si>
  <si>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</si>
  <si>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</si>
  <si>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</si>
  <si>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</si>
  <si>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</si>
  <si>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</si>
  <si>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</si>
  <si>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</si>
  <si>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</si>
  <si>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</si>
  <si>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</si>
  <si>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</si>
  <si>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</si>
  <si>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</si>
  <si>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</si>
  <si>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</si>
  <si>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</si>
  <si>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</si>
  <si>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</si>
  <si>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</si>
  <si>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</si>
  <si>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</si>
  <si>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</si>
  <si>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</si>
  <si>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</si>
  <si>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</si>
  <si>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</si>
  <si>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</si>
  <si>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</si>
  <si>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</si>
  <si>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</si>
  <si>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</si>
  <si>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</si>
  <si>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</si>
  <si>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</si>
  <si>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</si>
  <si>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</si>
  <si>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</si>
  <si>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</si>
  <si>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</si>
  <si>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</si>
  <si>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</si>
  <si>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</si>
  <si>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</si>
  <si>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</si>
  <si>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</si>
  <si>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</si>
  <si>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</si>
  <si>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</si>
  <si>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</si>
  <si>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</si>
  <si>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</si>
  <si>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</si>
  <si>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</si>
  <si>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</si>
  <si>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</si>
  <si>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</si>
  <si>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</si>
  <si>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</si>
  <si>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</si>
  <si>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</si>
  <si>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</si>
  <si>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</si>
  <si>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</si>
  <si>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</si>
  <si>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</si>
  <si>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</si>
  <si>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</si>
  <si>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</si>
  <si>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</si>
  <si>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</si>
  <si>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</si>
  <si>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</si>
  <si>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</si>
  <si>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</si>
  <si>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</si>
  <si>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</si>
  <si>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</si>
  <si>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</si>
  <si>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</si>
  <si>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</si>
  <si>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</si>
  <si>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</si>
  <si>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</si>
  <si>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</si>
  <si>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</si>
  <si>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</si>
  <si>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</si>
  <si>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</si>
  <si>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</si>
  <si>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</si>
  <si>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</si>
  <si>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</si>
  <si>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</si>
  <si>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</si>
  <si>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</si>
  <si>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</si>
  <si>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</si>
  <si>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</si>
  <si>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</si>
  <si>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</si>
  <si>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</si>
  <si>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</si>
  <si>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</si>
  <si>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</si>
  <si>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</si>
  <si>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</si>
  <si>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</si>
  <si>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</si>
  <si>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</si>
  <si>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</si>
  <si>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</si>
  <si>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</si>
  <si>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</si>
  <si>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</si>
  <si>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</si>
  <si>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</si>
  <si>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</si>
  <si>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</si>
  <si>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</si>
  <si>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</si>
  <si>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</si>
  <si>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</si>
  <si>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</si>
  <si>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</si>
  <si>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</si>
  <si>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</si>
  <si>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</si>
  <si>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</si>
  <si>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</si>
  <si>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</si>
  <si>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</si>
  <si>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</si>
  <si>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</si>
  <si>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</si>
  <si>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</si>
  <si>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</si>
  <si>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</si>
  <si>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</si>
  <si>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</si>
  <si>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</si>
  <si>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</si>
  <si>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</si>
  <si>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</si>
  <si>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</si>
  <si>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</si>
  <si>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</si>
  <si>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</si>
  <si>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</si>
  <si>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</si>
  <si>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</si>
  <si>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</si>
  <si>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</si>
  <si>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</si>
  <si>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</si>
  <si>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</si>
  <si>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</si>
  <si>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</si>
  <si>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</si>
  <si>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</si>
  <si>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</si>
  <si>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</si>
  <si>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</si>
  <si>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</si>
  <si>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</si>
  <si>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</si>
  <si>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</si>
  <si>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</si>
  <si>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</si>
  <si>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</si>
  <si>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</si>
  <si>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</si>
  <si>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</si>
  <si>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</si>
  <si>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</si>
  <si>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</si>
  <si>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</si>
  <si>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</si>
  <si>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</si>
  <si>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</si>
  <si>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</si>
  <si>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</si>
  <si>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</si>
  <si>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</si>
  <si>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</si>
  <si>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</si>
  <si>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</si>
  <si>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</si>
  <si>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</si>
  <si>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</si>
  <si>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</si>
  <si>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</si>
  <si>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</si>
  <si>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</si>
  <si>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</si>
  <si>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</si>
  <si>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</si>
  <si>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</si>
  <si>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</si>
  <si>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</si>
  <si>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</si>
  <si>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</si>
  <si>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</si>
  <si>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</si>
  <si>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</si>
  <si>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</si>
  <si>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</si>
  <si>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</si>
  <si>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</si>
  <si>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</si>
  <si>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</si>
  <si>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</si>
  <si>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</si>
  <si>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</si>
  <si>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</si>
  <si>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</si>
  <si>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</si>
  <si>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</si>
  <si>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</si>
  <si>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</si>
  <si>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</si>
  <si>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</si>
  <si>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</si>
  <si>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</si>
  <si>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</si>
  <si>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</si>
  <si>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</si>
  <si>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</si>
  <si>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</si>
  <si>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</si>
  <si>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</si>
  <si>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</si>
  <si>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</si>
  <si>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</si>
  <si>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</si>
  <si>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</si>
  <si>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</si>
  <si>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</si>
  <si>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</si>
  <si>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</si>
  <si>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</si>
  <si>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</si>
  <si>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</si>
  <si>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</si>
  <si>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</si>
  <si>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</si>
  <si>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</si>
  <si>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</si>
  <si>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</si>
  <si>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</si>
  <si>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</si>
  <si>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</si>
  <si>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</si>
  <si>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</si>
  <si>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</si>
  <si>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</si>
  <si>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</si>
  <si>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</si>
  <si>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</si>
  <si>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</si>
  <si>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</si>
  <si>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</si>
  <si>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</si>
  <si>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</si>
  <si>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</si>
  <si>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</si>
  <si>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</si>
  <si>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</si>
  <si>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</si>
  <si>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</si>
  <si>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</si>
  <si>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</si>
  <si>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</si>
  <si>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</si>
  <si>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</si>
  <si>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</si>
  <si>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</si>
  <si>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</si>
  <si>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</si>
  <si>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</si>
  <si>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</si>
  <si>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</si>
  <si>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</si>
  <si>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</si>
  <si>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</si>
  <si>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</si>
  <si>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</si>
  <si>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</si>
  <si>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</si>
  <si>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</si>
  <si>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</si>
  <si>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</si>
  <si>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</si>
  <si>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</si>
  <si>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</si>
  <si>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</si>
  <si>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</si>
  <si>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</si>
  <si>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</si>
  <si>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</si>
  <si>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</si>
  <si>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</si>
  <si>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</si>
  <si>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</si>
  <si>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</si>
  <si>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</si>
  <si>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</si>
  <si>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</si>
  <si>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</si>
  <si>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</si>
  <si>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</si>
  <si>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</si>
  <si>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</si>
  <si>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</si>
  <si>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</si>
  <si>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</si>
  <si>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</si>
  <si>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</si>
  <si>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</si>
  <si>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</si>
  <si>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</si>
  <si>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</si>
  <si>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</si>
  <si>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</si>
  <si>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</si>
  <si>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</si>
  <si>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</si>
  <si>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</si>
  <si>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</si>
  <si>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</si>
  <si>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</si>
  <si>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</si>
  <si>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</si>
  <si>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</si>
  <si>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</si>
  <si>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</si>
  <si>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</si>
  <si>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</si>
  <si>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</si>
  <si>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</si>
  <si>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</si>
  <si>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</si>
  <si>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</si>
  <si>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</si>
  <si>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</si>
  <si>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</si>
  <si>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</si>
  <si>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</si>
  <si>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</si>
  <si>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</si>
  <si>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</si>
  <si>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</si>
  <si>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</si>
  <si>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</si>
  <si>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</si>
  <si>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</si>
  <si>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</si>
  <si>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</si>
  <si>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</si>
  <si>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</si>
  <si>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</si>
  <si>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</si>
  <si>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</si>
  <si>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</si>
  <si>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</si>
  <si>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</si>
  <si>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</si>
  <si>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</si>
  <si>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</si>
  <si>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</si>
  <si>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</si>
  <si>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</si>
  <si>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</si>
  <si>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</si>
  <si>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</si>
  <si>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</si>
  <si>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</si>
  <si>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</si>
  <si>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</si>
  <si>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</si>
  <si>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</si>
  <si>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</si>
  <si>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</si>
  <si>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</si>
  <si>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</si>
  <si>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</si>
  <si>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</si>
  <si>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</si>
  <si>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</si>
  <si>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</si>
  <si>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</si>
  <si>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</si>
  <si>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</si>
  <si>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</si>
  <si>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</si>
  <si>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</si>
  <si>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</si>
  <si>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</si>
  <si>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</si>
  <si>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</si>
  <si>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</si>
  <si>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</si>
  <si>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</si>
  <si>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</si>
  <si>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</si>
  <si>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</si>
  <si>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</si>
  <si>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</si>
  <si>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</si>
  <si>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</si>
  <si>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</si>
  <si>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</si>
  <si>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</si>
  <si>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</si>
  <si>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</si>
  <si>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</si>
  <si>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</si>
  <si>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</si>
  <si>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</si>
  <si>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</si>
  <si>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</si>
  <si>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</si>
  <si>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</si>
  <si>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</si>
  <si>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</si>
  <si>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</si>
  <si>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</si>
  <si>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</si>
  <si>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</si>
  <si>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</si>
  <si>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</si>
  <si>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</si>
  <si>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</si>
  <si>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</si>
  <si>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</si>
  <si>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</si>
  <si>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</si>
  <si>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</si>
  <si>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</si>
  <si>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</si>
  <si>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</si>
  <si>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</si>
  <si>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</si>
  <si>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</si>
  <si>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</si>
  <si>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</si>
  <si>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</si>
  <si>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</si>
  <si>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</si>
  <si>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</si>
  <si>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</si>
  <si>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</si>
  <si>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</si>
  <si>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</si>
  <si>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</si>
  <si>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</si>
  <si>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</si>
  <si>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</si>
  <si>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</si>
  <si>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</si>
  <si>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</si>
  <si>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</si>
  <si>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</si>
  <si>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</si>
  <si>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</si>
  <si>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</si>
  <si>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</si>
  <si>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</si>
  <si>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</si>
  <si>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</si>
  <si>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</si>
  <si>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</si>
  <si>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</si>
  <si>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</si>
  <si>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</si>
  <si>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</si>
  <si>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</si>
  <si>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</si>
  <si>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</si>
  <si>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</si>
  <si>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</si>
  <si>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</si>
  <si>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</si>
  <si>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</si>
  <si>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</si>
  <si>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</si>
  <si>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</si>
  <si>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</si>
  <si>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</si>
  <si>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</si>
  <si>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</si>
  <si>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</si>
  <si>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</si>
  <si>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</si>
  <si>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</si>
  <si>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</si>
  <si>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</si>
  <si>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</si>
  <si>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</si>
  <si>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</si>
  <si>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</si>
  <si>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</si>
  <si>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</si>
  <si>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</si>
  <si>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</si>
  <si>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</si>
  <si>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</si>
  <si>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</si>
  <si>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</si>
  <si>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</si>
  <si>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</si>
  <si>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</si>
  <si>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</si>
  <si>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</si>
  <si>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</si>
  <si>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</si>
  <si>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</si>
  <si>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</si>
  <si>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</si>
  <si>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</si>
  <si>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</si>
  <si>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</si>
  <si>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</si>
  <si>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</si>
  <si>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</si>
  <si>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</si>
  <si>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</si>
  <si>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</si>
  <si>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</si>
  <si>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</si>
  <si>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</si>
  <si>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</si>
  <si>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</si>
  <si>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</si>
  <si>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</si>
  <si>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</si>
  <si>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</si>
  <si>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</si>
  <si>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</si>
  <si>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</si>
  <si>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</si>
  <si>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</si>
  <si>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</si>
  <si>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</si>
  <si>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</si>
  <si>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</si>
  <si>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</si>
  <si>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</si>
  <si>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</si>
  <si>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</si>
  <si>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</si>
  <si>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</si>
  <si>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</si>
  <si>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</si>
  <si>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</si>
  <si>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</si>
  <si>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</si>
  <si>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</si>
  <si>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</si>
  <si>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</si>
  <si>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</si>
  <si>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</si>
  <si>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</si>
  <si>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</si>
  <si>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</si>
  <si>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</si>
  <si>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</si>
  <si>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</si>
  <si>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</si>
  <si>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</si>
  <si>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</si>
  <si>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</si>
  <si>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</si>
  <si>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</si>
  <si>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</si>
  <si>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</si>
  <si>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</si>
  <si>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</si>
  <si>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</si>
  <si>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</si>
  <si>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</si>
  <si>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</si>
  <si>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</si>
  <si>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</si>
  <si>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</si>
  <si>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</si>
  <si>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</si>
  <si>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</si>
  <si>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</si>
  <si>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</si>
  <si>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</si>
  <si>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</si>
  <si>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</si>
  <si>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</si>
  <si>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</si>
  <si>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</si>
  <si>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</si>
  <si>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</si>
  <si>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</si>
  <si>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</si>
  <si>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</si>
  <si>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</si>
  <si>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</si>
  <si>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</si>
  <si>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</si>
  <si>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</si>
  <si>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</si>
  <si>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</si>
  <si>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</si>
  <si>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</si>
  <si>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</si>
  <si>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</si>
  <si>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</si>
  <si>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</si>
  <si>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</si>
  <si>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</si>
  <si>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</si>
  <si>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</si>
  <si>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</si>
  <si>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</si>
  <si>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</si>
  <si>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</si>
  <si>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</si>
  <si>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</si>
  <si>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</si>
  <si>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</si>
  <si>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</si>
  <si>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</si>
  <si>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</si>
  <si>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</si>
  <si>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</si>
  <si>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</si>
  <si>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</si>
  <si>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</si>
  <si>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</si>
  <si>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</si>
  <si>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</si>
  <si>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</si>
  <si>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</si>
  <si>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</si>
  <si>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</si>
  <si>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</si>
  <si>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</si>
  <si>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</si>
  <si>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</si>
  <si>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</si>
  <si>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</si>
  <si>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</si>
  <si>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</si>
  <si>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</si>
  <si>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</si>
  <si>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</si>
  <si>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</si>
  <si>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</si>
  <si>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</si>
  <si>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</si>
  <si>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</si>
  <si>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</si>
  <si>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</si>
  <si>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</si>
  <si>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</si>
  <si>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</si>
  <si>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</si>
  <si>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</si>
  <si>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</si>
  <si>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</si>
  <si>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</si>
  <si>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</si>
  <si>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</si>
  <si>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</si>
  <si>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</si>
  <si>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</si>
  <si>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</si>
  <si>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</si>
  <si>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</si>
  <si>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</si>
  <si>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</si>
  <si>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</si>
  <si>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</si>
  <si>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</si>
  <si>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</si>
  <si>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</si>
  <si>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</si>
  <si>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</si>
  <si>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</si>
  <si>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</si>
  <si>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</si>
  <si>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</si>
  <si>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</si>
  <si>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</si>
  <si>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</si>
  <si>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</si>
  <si>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</si>
  <si>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</si>
  <si>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</si>
  <si>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</si>
  <si>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</si>
  <si>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</si>
  <si>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</si>
  <si>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</si>
  <si>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</si>
  <si>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</si>
  <si>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</si>
  <si>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</si>
  <si>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</si>
  <si>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</si>
  <si>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</si>
  <si>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</si>
  <si>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</si>
  <si>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</si>
  <si>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</si>
  <si>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</si>
  <si>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</si>
  <si>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</si>
  <si>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</si>
  <si>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</si>
  <si>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</si>
  <si>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</si>
  <si>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</si>
  <si>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</si>
  <si>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</si>
  <si>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</si>
  <si>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</si>
  <si>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</si>
  <si>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</si>
  <si>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</si>
  <si>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</si>
  <si>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</si>
  <si>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</si>
  <si>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</si>
  <si>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</si>
  <si>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</si>
  <si>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</si>
  <si>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</si>
  <si>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</si>
  <si>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</si>
  <si>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</si>
  <si>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</si>
  <si>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</si>
  <si>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</si>
  <si>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</si>
  <si>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</si>
  <si>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</si>
  <si>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</si>
  <si>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</si>
  <si>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</si>
  <si>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</si>
  <si>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</si>
  <si>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</si>
  <si>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</si>
  <si>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</si>
  <si>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</si>
  <si>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</si>
  <si>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</si>
  <si>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</si>
  <si>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</si>
  <si>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</si>
  <si>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</si>
  <si>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</si>
  <si>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</si>
  <si>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</si>
  <si>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</si>
  <si>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</si>
  <si>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</si>
  <si>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</si>
  <si>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</si>
  <si>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</si>
  <si>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</si>
  <si>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</si>
  <si>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</si>
  <si>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</si>
  <si>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</si>
  <si>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</si>
  <si>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</si>
  <si>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</si>
  <si>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</si>
  <si>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</si>
  <si>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</si>
  <si>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</si>
  <si>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</si>
  <si>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</si>
  <si>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</si>
  <si>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</si>
  <si>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</si>
  <si>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</si>
  <si>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</si>
  <si>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</si>
  <si>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</si>
  <si>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</si>
  <si>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</si>
  <si>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</si>
  <si>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</si>
  <si>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</si>
  <si>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</si>
  <si>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</si>
  <si>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</si>
  <si>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</si>
  <si>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</si>
  <si>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</si>
  <si>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</si>
  <si>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</si>
  <si>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</si>
  <si>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</si>
  <si>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</si>
  <si>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</si>
  <si>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</si>
  <si>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</si>
  <si>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</si>
  <si>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</si>
  <si>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</si>
  <si>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</si>
  <si>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</si>
  <si>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</si>
  <si>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</si>
  <si>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</si>
  <si>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</si>
  <si>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</si>
  <si>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</si>
  <si>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</si>
  <si>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</si>
  <si>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</si>
  <si>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</si>
  <si>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</si>
  <si>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</si>
  <si>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</si>
  <si>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</si>
  <si>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</si>
  <si>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</si>
  <si>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</si>
  <si>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</si>
  <si>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</si>
  <si>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</si>
  <si>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</si>
  <si>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</si>
  <si>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</si>
  <si>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</si>
  <si>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</si>
  <si>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</si>
  <si>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</si>
  <si>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</si>
  <si>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</si>
  <si>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</si>
  <si>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</si>
  <si>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</si>
  <si>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</si>
  <si>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</si>
  <si>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</si>
  <si>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</si>
  <si>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</si>
  <si>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</si>
  <si>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</si>
  <si>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</si>
  <si>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</si>
  <si>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</si>
  <si>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</si>
  <si>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</si>
  <si>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</si>
  <si>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</si>
  <si>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</si>
  <si>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</si>
  <si>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</si>
  <si>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</si>
  <si>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</si>
  <si>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</si>
  <si>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</si>
  <si>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</si>
  <si>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</si>
  <si>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</si>
  <si>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</si>
  <si>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</si>
  <si>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</si>
  <si>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</si>
  <si>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</si>
  <si>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</si>
  <si>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</si>
  <si>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</si>
  <si>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</si>
  <si>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</si>
  <si>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</si>
  <si>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</si>
  <si>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</si>
  <si>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</si>
  <si>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</si>
  <si>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</si>
  <si>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</si>
  <si>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</si>
  <si>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</si>
  <si>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</si>
  <si>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</si>
  <si>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</si>
  <si>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</si>
  <si>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</si>
  <si>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</si>
  <si>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</si>
  <si>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</si>
  <si>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</si>
  <si>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</si>
  <si>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</si>
  <si>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</si>
  <si>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</si>
  <si>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</si>
  <si>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</si>
  <si>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</si>
  <si>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</si>
  <si>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</si>
  <si>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</si>
  <si>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</si>
  <si>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</si>
  <si>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</si>
  <si>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</si>
  <si>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</si>
  <si>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</si>
  <si>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</si>
  <si>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</si>
  <si>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</si>
  <si>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</si>
  <si>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</si>
  <si>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</si>
  <si>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</si>
  <si>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</si>
  <si>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</si>
  <si>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</si>
  <si>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</si>
  <si>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</si>
  <si>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</si>
  <si>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</si>
  <si>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</si>
  <si>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</si>
  <si>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</si>
  <si>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</si>
  <si>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</si>
  <si>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</si>
  <si>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</si>
  <si>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</si>
  <si>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</si>
  <si>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</si>
  <si>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</si>
  <si>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</si>
  <si>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</si>
  <si>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</si>
  <si>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</si>
  <si>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</si>
  <si>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</si>
  <si>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</si>
  <si>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</si>
  <si>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</si>
  <si>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</si>
  <si>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</si>
  <si>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</si>
  <si>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</si>
  <si>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</si>
  <si>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</si>
  <si>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</si>
  <si>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</si>
  <si>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</si>
  <si>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</si>
  <si>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</si>
  <si>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</si>
  <si>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</si>
  <si>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</si>
  <si>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</si>
  <si>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</si>
  <si>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</si>
  <si>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</si>
  <si>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</si>
  <si>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</si>
  <si>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</si>
  <si>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</si>
  <si>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</si>
  <si>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</si>
  <si>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</si>
  <si>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</si>
  <si>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</si>
  <si>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</si>
  <si>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</si>
  <si>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</si>
  <si>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</si>
  <si>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</si>
  <si>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</si>
  <si>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</si>
  <si>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</si>
  <si>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</si>
  <si>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</si>
  <si>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</si>
  <si>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</si>
  <si>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</si>
  <si>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</si>
  <si>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</si>
  <si>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</si>
  <si>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</si>
  <si>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</si>
  <si>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</si>
  <si>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</si>
  <si>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</si>
  <si>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</si>
  <si>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</si>
  <si>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</si>
  <si>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</si>
  <si>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</si>
  <si>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</si>
  <si>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</si>
  <si>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</si>
  <si>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</si>
  <si>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</si>
  <si>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</si>
  <si>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</si>
  <si>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</si>
  <si>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</si>
  <si>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</si>
  <si>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</si>
  <si>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</si>
  <si>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</si>
  <si>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</si>
  <si>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</si>
  <si>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</si>
  <si>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</si>
  <si>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</si>
  <si>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</si>
  <si>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</si>
  <si>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</si>
  <si>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</si>
  <si>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</si>
  <si>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</si>
  <si>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</si>
  <si>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</si>
  <si>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</si>
  <si>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</si>
  <si>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</si>
  <si>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</si>
  <si>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</si>
  <si>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</si>
  <si>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</si>
  <si>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</si>
  <si>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</si>
  <si>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</si>
  <si>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</si>
  <si>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</si>
  <si>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</si>
  <si>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</si>
  <si>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</si>
  <si>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</si>
  <si>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</si>
  <si>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</si>
  <si>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</si>
  <si>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</si>
  <si>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</si>
  <si>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</si>
  <si>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</si>
  <si>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</si>
  <si>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</si>
  <si>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</si>
  <si>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</si>
  <si>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</si>
  <si>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</si>
  <si>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</si>
  <si>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</si>
  <si>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</si>
  <si>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</si>
  <si>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</si>
  <si>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</si>
  <si>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</si>
  <si>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</si>
  <si>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</si>
  <si>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</si>
  <si>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</si>
  <si>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</si>
  <si>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</si>
  <si>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</si>
  <si>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</si>
  <si>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</si>
  <si>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</si>
  <si>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</si>
  <si>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</si>
  <si>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</si>
  <si>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</si>
  <si>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</si>
  <si>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</si>
  <si>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</si>
  <si>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</si>
  <si>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</si>
  <si>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</si>
  <si>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</si>
  <si>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</si>
  <si>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</si>
  <si>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</si>
  <si>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</si>
  <si>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</si>
  <si>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</si>
  <si>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</si>
  <si>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</si>
  <si>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</si>
  <si>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</si>
  <si>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</si>
  <si>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</si>
  <si>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</si>
  <si>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</si>
  <si>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</si>
  <si>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</si>
  <si>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</si>
  <si>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</si>
  <si>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</si>
  <si>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</si>
  <si>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</si>
  <si>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</si>
  <si>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</si>
  <si>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</si>
  <si>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</si>
  <si>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</si>
  <si>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</si>
  <si>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</si>
  <si>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</si>
  <si>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</si>
  <si>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</si>
  <si>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</si>
  <si>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</si>
  <si>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</si>
  <si>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</si>
  <si>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</si>
  <si>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</si>
  <si>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</si>
  <si>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</si>
  <si>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</si>
  <si>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</si>
  <si>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</si>
  <si>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</si>
  <si>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</si>
  <si>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</si>
  <si>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</si>
  <si>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</si>
  <si>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</si>
  <si>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</si>
  <si>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</si>
  <si>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</si>
  <si>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</si>
  <si>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</si>
  <si>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</si>
  <si>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</si>
  <si>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</si>
  <si>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</si>
  <si>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</si>
  <si>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</si>
  <si>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</si>
  <si>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</si>
  <si>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</si>
  <si>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</si>
  <si>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</si>
  <si>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</si>
  <si>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</si>
  <si>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</si>
  <si>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</si>
  <si>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</si>
  <si>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</si>
  <si>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</si>
  <si>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</si>
  <si>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</si>
  <si>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</si>
  <si>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</si>
  <si>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</si>
  <si>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</si>
  <si>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</si>
  <si>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</si>
  <si>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</si>
  <si>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</si>
  <si>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</si>
  <si>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</si>
  <si>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</si>
  <si>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</si>
  <si>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</si>
  <si>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</si>
  <si>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</si>
  <si>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</si>
  <si>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</si>
  <si>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</si>
  <si>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</si>
  <si>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</si>
  <si>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</si>
  <si>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</si>
  <si>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</si>
  <si>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</si>
  <si>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</si>
  <si>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</si>
  <si>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</si>
  <si>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</si>
  <si>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</si>
  <si>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</si>
  <si>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</si>
  <si>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</si>
  <si>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</si>
  <si>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</si>
  <si>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</si>
  <si>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</si>
  <si>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</si>
  <si>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</si>
  <si>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</si>
  <si>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</si>
  <si>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</si>
  <si>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</si>
  <si>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</si>
  <si>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</si>
  <si>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</si>
  <si>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</si>
  <si>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</si>
  <si>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</si>
  <si>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</si>
  <si>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</si>
  <si>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</si>
  <si>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</si>
  <si>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</si>
  <si>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</si>
  <si>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</si>
  <si>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</si>
  <si>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</si>
  <si>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</si>
  <si>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</si>
  <si>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</si>
  <si>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</si>
  <si>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</si>
  <si>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</si>
  <si>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</si>
  <si>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</si>
  <si>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</si>
  <si>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</si>
  <si>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</si>
  <si>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</si>
  <si>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</si>
  <si>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</si>
  <si>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</si>
  <si>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</si>
  <si>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</si>
  <si>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</si>
  <si>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</si>
  <si>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</si>
  <si>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</si>
  <si>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</si>
  <si>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</si>
  <si>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</si>
  <si>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</si>
  <si>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</si>
  <si>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</si>
  <si>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</si>
  <si>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</si>
  <si>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</si>
  <si>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</si>
  <si>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</si>
  <si>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</si>
  <si>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</si>
  <si>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</si>
  <si>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</si>
  <si>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</si>
  <si>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</si>
  <si>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</si>
  <si>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</si>
  <si>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</si>
  <si>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</si>
  <si>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</si>
  <si>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</si>
  <si>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</si>
  <si>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</si>
  <si>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</si>
  <si>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</si>
  <si>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</si>
  <si>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</si>
  <si>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</si>
  <si>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</si>
  <si>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</si>
  <si>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</si>
  <si>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</si>
  <si>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</si>
  <si>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</si>
  <si>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</si>
  <si>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</si>
  <si>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</si>
  <si>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</si>
  <si>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</si>
  <si>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</si>
  <si>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</si>
  <si>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</si>
  <si>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</si>
  <si>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</si>
  <si>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</si>
  <si>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</si>
  <si>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</si>
  <si>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</si>
  <si>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</si>
  <si>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</si>
  <si>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</si>
  <si>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</si>
  <si>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</si>
  <si>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</si>
  <si>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</si>
  <si>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</si>
  <si>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</si>
  <si>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</si>
  <si>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</si>
  <si>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</si>
  <si>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</si>
  <si>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</si>
  <si>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</si>
  <si>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</si>
  <si>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</si>
  <si>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</si>
  <si>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</si>
  <si>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</si>
  <si>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</si>
  <si>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</si>
  <si>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</si>
  <si>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</si>
  <si>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</si>
  <si>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</si>
  <si>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</si>
  <si>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</si>
  <si>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</si>
  <si>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</si>
  <si>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</si>
  <si>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</si>
  <si>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</si>
  <si>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</si>
  <si>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</si>
  <si>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</si>
  <si>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</si>
  <si>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</si>
  <si>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</si>
  <si>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</si>
  <si>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</si>
  <si>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</si>
  <si>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</si>
  <si>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</si>
  <si>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</si>
  <si>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</si>
  <si>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</si>
  <si>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</si>
  <si>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</si>
  <si>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</si>
  <si>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</si>
  <si>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</si>
  <si>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</si>
  <si>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</si>
  <si>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</si>
  <si>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</si>
  <si>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</si>
  <si>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</si>
  <si>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</si>
  <si>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</si>
  <si>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</si>
  <si>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</si>
  <si>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</si>
  <si>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</si>
  <si>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</si>
  <si>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</si>
  <si>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</si>
  <si>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</si>
  <si>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</si>
  <si>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</si>
  <si>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</si>
  <si>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</si>
  <si>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</si>
  <si>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</si>
  <si>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</si>
  <si>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</si>
  <si>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</si>
  <si>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</si>
  <si>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</si>
  <si>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</si>
  <si>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</si>
  <si>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</si>
  <si>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</si>
  <si>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</si>
  <si>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</si>
  <si>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</si>
  <si>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</si>
  <si>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</si>
  <si>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</si>
  <si>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</si>
  <si>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</si>
  <si>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</si>
  <si>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</si>
  <si>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</si>
  <si>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</si>
  <si>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</si>
  <si>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</si>
  <si>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</si>
  <si>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</si>
  <si>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</si>
  <si>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</si>
  <si>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</si>
  <si>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</si>
  <si>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</si>
  <si>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</si>
  <si>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</si>
  <si>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</si>
  <si>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</si>
  <si>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</si>
  <si>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</si>
  <si>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</si>
  <si>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</si>
  <si>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</si>
  <si>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</si>
  <si>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</si>
  <si>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</si>
  <si>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</si>
  <si>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</si>
  <si>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</si>
  <si>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</si>
  <si>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</si>
  <si>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</si>
  <si>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</si>
  <si>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</si>
  <si>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</si>
  <si>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</si>
  <si>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</si>
  <si>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</si>
  <si>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</si>
  <si>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</si>
  <si>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</si>
  <si>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</si>
  <si>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</si>
  <si>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</si>
  <si>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</si>
  <si>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</si>
  <si>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</si>
  <si>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</si>
  <si>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</si>
  <si>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</si>
  <si>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</si>
  <si>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</si>
  <si>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</si>
  <si>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</si>
  <si>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</si>
  <si>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</si>
  <si>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</si>
  <si>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</si>
  <si>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</si>
  <si>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</si>
  <si>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</si>
  <si>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</si>
  <si>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</si>
  <si>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</si>
  <si>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</si>
  <si>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</si>
  <si>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</si>
  <si>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</si>
  <si>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</si>
  <si>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</si>
  <si>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</si>
  <si>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</si>
  <si>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</si>
  <si>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</si>
  <si>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</si>
  <si>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</si>
  <si>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</si>
  <si>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</si>
  <si>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</si>
  <si>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</si>
  <si>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</si>
  <si>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</si>
  <si>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</si>
  <si>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</si>
  <si>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</si>
  <si>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</si>
  <si>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</si>
  <si>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</si>
  <si>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</si>
  <si>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</si>
  <si>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</si>
  <si>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</si>
  <si>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</si>
  <si>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</si>
  <si>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</si>
  <si>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</si>
  <si>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</si>
  <si>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</si>
  <si>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</si>
  <si>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</si>
  <si>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</si>
  <si>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</si>
  <si>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</si>
  <si>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</si>
  <si>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</si>
  <si>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</si>
  <si>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</si>
  <si>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</si>
  <si>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</si>
  <si>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</si>
  <si>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</si>
  <si>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</si>
  <si>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</si>
  <si>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</si>
  <si>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</si>
  <si>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</si>
  <si>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</si>
  <si>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</si>
  <si>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</si>
  <si>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</si>
  <si>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</si>
  <si>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</si>
  <si>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</si>
  <si>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</si>
  <si>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</si>
  <si>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</si>
  <si>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</si>
  <si>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</si>
  <si>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</si>
  <si>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</si>
  <si>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</si>
  <si>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</si>
  <si>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</si>
  <si>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</si>
  <si>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</si>
  <si>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</si>
  <si>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</si>
  <si>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</si>
  <si>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</si>
  <si>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</si>
  <si>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</si>
  <si>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</si>
  <si>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</si>
  <si>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</si>
  <si>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</si>
  <si>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</si>
  <si>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</si>
  <si>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</si>
  <si>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</si>
  <si>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</si>
  <si>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</si>
  <si>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</si>
  <si>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</si>
  <si>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</si>
  <si>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</si>
  <si>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</si>
  <si>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</si>
  <si>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</si>
  <si>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</si>
  <si>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</si>
  <si>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</si>
  <si>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</si>
  <si>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</si>
  <si>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</si>
  <si>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</si>
  <si>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</si>
  <si>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</si>
  <si>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</si>
  <si>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</si>
  <si>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</si>
  <si>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</si>
  <si>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</si>
  <si>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</si>
  <si>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</si>
  <si>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</si>
  <si>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</si>
  <si>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</si>
  <si>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</si>
  <si>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</si>
  <si>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</si>
  <si>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</si>
  <si>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</si>
  <si>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</si>
  <si>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</si>
  <si>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</si>
  <si>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</si>
  <si>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</si>
  <si>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</si>
  <si>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</si>
  <si>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</si>
  <si>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</si>
  <si>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</si>
  <si>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</si>
  <si>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</si>
  <si>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</si>
  <si>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</si>
  <si>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</si>
  <si>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</si>
  <si>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</si>
  <si>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</si>
  <si>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</si>
  <si>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</si>
  <si>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</si>
  <si>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</si>
  <si>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</si>
  <si>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</si>
  <si>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</si>
  <si>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</si>
  <si>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</si>
  <si>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</si>
  <si>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</si>
  <si>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</si>
  <si>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</si>
  <si>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</si>
  <si>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</si>
  <si>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</si>
  <si>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</si>
  <si>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</si>
  <si>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</si>
  <si>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</si>
  <si>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</si>
  <si>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</si>
  <si>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</si>
  <si>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</si>
  <si>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</si>
  <si>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</si>
  <si>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</si>
  <si>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</si>
  <si>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</si>
  <si>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</si>
  <si>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</si>
  <si>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</si>
  <si>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</si>
  <si>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</si>
  <si>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</si>
  <si>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</si>
  <si>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</si>
  <si>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</si>
  <si>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</si>
  <si>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</si>
  <si>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</si>
  <si>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</si>
  <si>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</si>
  <si>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</si>
  <si>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</si>
  <si>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</si>
  <si>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</si>
  <si>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</si>
  <si>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</si>
  <si>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</si>
  <si>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</si>
  <si>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</si>
  <si>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</si>
  <si>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</si>
  <si>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</si>
  <si>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</si>
  <si>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</si>
  <si>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</si>
  <si>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</si>
  <si>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</si>
  <si>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</si>
  <si>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</si>
  <si>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</si>
  <si>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</si>
  <si>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</si>
  <si>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</si>
  <si>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</si>
  <si>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</si>
  <si>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</si>
  <si>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</si>
  <si>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</si>
  <si>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</si>
  <si>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</si>
  <si>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</si>
  <si>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</si>
  <si>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</si>
  <si>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</si>
  <si>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</si>
  <si>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</si>
  <si>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</si>
  <si>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</si>
  <si>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</si>
  <si>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</si>
  <si>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</si>
  <si>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</si>
  <si>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</si>
  <si>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</si>
  <si>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</si>
  <si>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</si>
  <si>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</si>
  <si>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</si>
  <si>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</si>
  <si>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</si>
  <si>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</si>
  <si>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</si>
  <si>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</si>
  <si>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</si>
  <si>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</si>
  <si>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</si>
  <si>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</si>
  <si>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</si>
  <si>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</si>
  <si>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</si>
  <si>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</si>
  <si>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</si>
  <si>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</si>
  <si>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</si>
  <si>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</si>
  <si>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</si>
  <si>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</si>
  <si>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</si>
  <si>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</si>
  <si>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</si>
  <si>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</si>
  <si>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</si>
  <si>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</si>
  <si>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</si>
  <si>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</si>
  <si>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</si>
  <si>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</si>
  <si>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</si>
  <si>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</si>
  <si>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</si>
  <si>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</si>
  <si>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</si>
  <si>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</si>
  <si>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</si>
  <si>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</si>
  <si>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</si>
  <si>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</si>
  <si>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</si>
  <si>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</si>
  <si>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</si>
  <si>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</si>
  <si>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</si>
  <si>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</si>
  <si>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</si>
  <si>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</si>
  <si>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</si>
  <si>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</si>
  <si>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</si>
  <si>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</si>
  <si>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</si>
  <si>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</si>
  <si>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</si>
  <si>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</si>
  <si>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</si>
  <si>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</si>
  <si>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</si>
  <si>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</si>
  <si>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</si>
  <si>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</si>
  <si>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</si>
  <si>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</si>
  <si>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</si>
  <si>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</si>
  <si>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</si>
  <si>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</si>
  <si>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</si>
  <si>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</si>
  <si>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</si>
  <si>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</si>
  <si>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</si>
  <si>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</si>
  <si>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</si>
  <si>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</si>
  <si>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</si>
  <si>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</si>
  <si>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</si>
  <si>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</si>
  <si>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</si>
  <si>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</si>
  <si>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</si>
  <si>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</si>
  <si>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</si>
  <si>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</si>
  <si>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</si>
  <si>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</si>
  <si>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</si>
  <si>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</si>
  <si>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</si>
  <si>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</si>
  <si>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</si>
  <si>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</si>
  <si>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</si>
  <si>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</si>
  <si>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</si>
  <si>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</si>
  <si>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</si>
  <si>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</si>
  <si>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</si>
  <si>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</si>
  <si>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</si>
  <si>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</si>
  <si>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</si>
  <si>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</si>
  <si>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</si>
  <si>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</si>
  <si>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</si>
  <si>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</si>
  <si>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</si>
  <si>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</si>
  <si>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</si>
  <si>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</si>
  <si>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</si>
  <si>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</si>
  <si>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</si>
  <si>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</si>
  <si>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</si>
  <si>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</si>
  <si>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</si>
  <si>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</si>
  <si>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</si>
  <si>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</si>
  <si>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</si>
  <si>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</si>
  <si>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</si>
  <si>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</si>
  <si>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</si>
  <si>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</si>
  <si>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</si>
  <si>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</si>
  <si>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</si>
  <si>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</si>
  <si>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</si>
  <si>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</si>
  <si>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</si>
  <si>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</si>
  <si>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</si>
  <si>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</si>
  <si>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</si>
  <si>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</si>
  <si>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</si>
  <si>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</si>
  <si>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</si>
  <si>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</si>
  <si>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</si>
  <si>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</si>
  <si>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</si>
  <si>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</si>
  <si>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</si>
  <si>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</si>
  <si>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</si>
  <si>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</si>
  <si>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</si>
  <si>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</si>
  <si>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</si>
  <si>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</si>
  <si>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</si>
  <si>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</si>
  <si>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</si>
  <si>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</si>
  <si>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</si>
  <si>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</si>
  <si>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</si>
  <si>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</si>
  <si>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</si>
  <si>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</si>
  <si>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</si>
  <si>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</si>
  <si>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</si>
  <si>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</si>
  <si>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</si>
  <si>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</si>
  <si>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</si>
  <si>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</si>
  <si>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</si>
  <si>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</si>
  <si>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</si>
  <si>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</si>
  <si>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</si>
  <si>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</si>
  <si>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</si>
  <si>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</si>
  <si>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</si>
  <si>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</si>
  <si>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</si>
  <si>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</si>
  <si>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</si>
  <si>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</si>
  <si>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</si>
  <si>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</si>
  <si>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</si>
  <si>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</si>
  <si>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</si>
  <si>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</si>
  <si>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</si>
  <si>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</si>
  <si>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</si>
  <si>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</si>
  <si>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</si>
  <si>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</si>
  <si>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</si>
  <si>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</si>
  <si>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</si>
  <si>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</si>
  <si>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</si>
  <si>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</si>
  <si>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</si>
  <si>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</si>
  <si>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</si>
  <si>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</si>
  <si>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</si>
  <si>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</si>
  <si>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</si>
  <si>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</si>
  <si>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</si>
  <si>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</si>
  <si>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</si>
  <si>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</si>
  <si>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</si>
  <si>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</si>
  <si>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</si>
  <si>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</si>
  <si>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</si>
  <si>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</si>
  <si>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</si>
  <si>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</si>
  <si>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</si>
  <si>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</si>
  <si>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</si>
  <si>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</si>
  <si>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</si>
  <si>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</si>
  <si>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</si>
  <si>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</si>
  <si>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</si>
  <si>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</si>
  <si>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</si>
  <si>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</si>
  <si>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</si>
  <si>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</si>
  <si>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</si>
  <si>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</si>
  <si>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</si>
  <si>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</si>
  <si>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</si>
  <si>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</si>
  <si>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</si>
  <si>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</si>
  <si>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</si>
  <si>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</si>
  <si>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</si>
  <si>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</si>
  <si>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</si>
  <si>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</si>
  <si>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</si>
  <si>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</si>
  <si>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</si>
  <si>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</si>
  <si>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</si>
  <si>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</si>
  <si>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</si>
  <si>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</si>
  <si>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</si>
  <si>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</si>
  <si>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</si>
  <si>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</si>
  <si>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</si>
  <si>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</si>
  <si>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</si>
  <si>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</si>
  <si>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</si>
  <si>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</si>
  <si>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</si>
  <si>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</si>
  <si>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</si>
  <si>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</si>
  <si>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</si>
  <si>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</si>
  <si>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</si>
  <si>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</si>
  <si>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</si>
  <si>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</si>
  <si>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</si>
  <si>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</si>
  <si>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</si>
  <si>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</si>
  <si>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</si>
  <si>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</si>
  <si>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</si>
  <si>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</si>
  <si>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</si>
  <si>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</si>
  <si>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</si>
  <si>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</si>
  <si>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</si>
  <si>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</si>
  <si>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</si>
  <si>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</si>
  <si>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</si>
  <si>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</si>
  <si>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</si>
  <si>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</si>
  <si>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</si>
  <si>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</si>
  <si>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</si>
  <si>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</si>
  <si>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</si>
  <si>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</si>
  <si>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</si>
  <si>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</si>
  <si>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</si>
  <si>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</si>
  <si>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</si>
  <si>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</si>
  <si>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</si>
  <si>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</si>
  <si>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</si>
  <si>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</si>
  <si>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</si>
  <si>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</si>
  <si>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</si>
  <si>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</si>
  <si>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</si>
  <si>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</si>
  <si>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</si>
  <si>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</si>
  <si>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</si>
  <si>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</si>
  <si>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</si>
  <si>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</si>
  <si>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</si>
  <si>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</si>
  <si>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</si>
  <si>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</si>
  <si>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</si>
  <si>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</si>
  <si>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</si>
  <si>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</si>
  <si>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</si>
  <si>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</si>
  <si>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</si>
  <si>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</si>
  <si>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</si>
  <si>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</si>
  <si>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</si>
  <si>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</si>
  <si>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</si>
  <si>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</si>
  <si>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</si>
  <si>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</si>
  <si>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</si>
  <si>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</si>
  <si>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</si>
  <si>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</si>
  <si>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</si>
  <si>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</si>
  <si>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</si>
  <si>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</si>
  <si>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</si>
  <si>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</si>
  <si>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</si>
  <si>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</si>
  <si>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</si>
  <si>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</si>
  <si>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</si>
  <si>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</si>
  <si>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</si>
  <si>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</si>
  <si>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</si>
  <si>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</si>
  <si>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</si>
  <si>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</si>
  <si>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</si>
  <si>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</si>
  <si>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</si>
  <si>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</si>
  <si>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</si>
  <si>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</si>
  <si>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</si>
  <si>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</si>
  <si>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</si>
  <si>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</si>
  <si>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</si>
  <si>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</si>
  <si>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</si>
  <si>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</si>
  <si>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</si>
  <si>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</si>
  <si>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</si>
  <si>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</si>
  <si>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</si>
  <si>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</si>
  <si>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</si>
  <si>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</si>
  <si>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</si>
  <si>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</si>
  <si>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</si>
  <si>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</si>
  <si>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</si>
  <si>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</si>
  <si>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</si>
  <si>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</si>
  <si>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</si>
  <si>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</si>
  <si>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</si>
  <si>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</si>
  <si>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</si>
  <si>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</si>
  <si>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</si>
  <si>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</si>
  <si>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</si>
  <si>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</si>
  <si>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</si>
  <si>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</si>
  <si>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</si>
  <si>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</si>
  <si>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</si>
  <si>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</si>
  <si>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</si>
  <si>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</si>
  <si>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</si>
  <si>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</si>
  <si>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</si>
  <si>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</si>
  <si>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</si>
  <si>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</si>
  <si>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</si>
  <si>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</si>
  <si>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</si>
  <si>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</si>
  <si>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</si>
  <si>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</si>
  <si>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</si>
  <si>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</si>
  <si>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</si>
  <si>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</si>
  <si>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</si>
  <si>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</si>
  <si>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</si>
  <si>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</si>
  <si>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</si>
  <si>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</si>
  <si>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</si>
  <si>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</si>
  <si>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</si>
  <si>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</si>
  <si>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</si>
  <si>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</si>
  <si>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</si>
  <si>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</si>
  <si>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</si>
  <si>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</si>
  <si>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</si>
  <si>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</si>
  <si>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</si>
  <si>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</si>
  <si>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</si>
  <si>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</si>
  <si>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</si>
  <si>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</si>
  <si>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</si>
  <si>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</si>
  <si>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</si>
  <si>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</si>
  <si>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</si>
  <si>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</si>
  <si>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</si>
  <si>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</si>
  <si>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</si>
  <si>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</si>
  <si>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</si>
  <si>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</si>
  <si>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</si>
  <si>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</si>
  <si>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</si>
  <si>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</si>
  <si>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</si>
  <si>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</si>
  <si>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</si>
  <si>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</si>
  <si>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</si>
  <si>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</si>
  <si>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</si>
  <si>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</si>
  <si>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</si>
  <si>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</si>
  <si>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</si>
  <si>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</si>
  <si>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</si>
  <si>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</si>
  <si>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</si>
  <si>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</si>
  <si>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</si>
  <si>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</si>
  <si>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</si>
  <si>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</si>
  <si>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</si>
  <si>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</si>
  <si>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</si>
  <si>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</si>
  <si>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</si>
  <si>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</si>
  <si>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</si>
  <si>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</si>
  <si>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</si>
  <si>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</si>
  <si>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</si>
  <si>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</si>
  <si>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</si>
  <si>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</si>
  <si>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</si>
  <si>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</si>
  <si>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</si>
  <si>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</si>
  <si>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</si>
  <si>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</si>
  <si>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</si>
  <si>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</si>
  <si>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</si>
  <si>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</si>
  <si>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</si>
  <si>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</si>
  <si>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</si>
  <si>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</si>
  <si>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</si>
  <si>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</si>
  <si>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</si>
  <si>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</si>
  <si>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</si>
  <si>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</si>
  <si>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</si>
  <si>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</si>
  <si>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</si>
  <si>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</si>
  <si>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</si>
  <si>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</si>
  <si>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</si>
  <si>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</si>
  <si>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</si>
  <si>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</si>
  <si>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</si>
  <si>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</si>
  <si>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</si>
  <si>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</si>
  <si>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</si>
  <si>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</si>
  <si>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</si>
  <si>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</si>
  <si>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</si>
  <si>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</si>
  <si>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</si>
  <si>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</si>
  <si>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</si>
  <si>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</si>
  <si>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</si>
  <si>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</si>
  <si>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</si>
  <si>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</si>
  <si>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</si>
  <si>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</si>
  <si>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</si>
  <si>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</si>
  <si>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</si>
  <si>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</si>
  <si>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</si>
  <si>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</si>
  <si>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</si>
  <si>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</si>
  <si>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</si>
  <si>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</si>
  <si>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</si>
  <si>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</si>
  <si>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</si>
  <si>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</si>
  <si>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</si>
  <si>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</si>
  <si>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</si>
  <si>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</si>
  <si>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</si>
  <si>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</si>
  <si>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</si>
  <si>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</si>
  <si>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</si>
  <si>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</si>
  <si>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</si>
  <si>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</si>
  <si>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</si>
  <si>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</si>
  <si>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</si>
  <si>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</si>
  <si>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</si>
  <si>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</si>
  <si>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</si>
  <si>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</si>
  <si>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</si>
  <si>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</si>
  <si>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</si>
  <si>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</si>
  <si>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</si>
  <si>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</si>
  <si>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</si>
  <si>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</si>
  <si>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</si>
  <si>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</si>
  <si>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</si>
  <si>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</si>
  <si>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</si>
  <si>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</si>
  <si>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</si>
  <si>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</si>
  <si>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</si>
  <si>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</si>
  <si>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</si>
  <si>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</si>
  <si>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</si>
  <si>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</si>
  <si>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</si>
  <si>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</si>
  <si>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</si>
  <si>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</si>
  <si>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</si>
  <si>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</si>
  <si>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</si>
  <si>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</si>
  <si>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</si>
  <si>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</si>
  <si>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</si>
  <si>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</si>
  <si>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</si>
  <si>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</si>
  <si>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</si>
  <si>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</si>
  <si>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</si>
  <si>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</si>
  <si>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</si>
  <si>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</si>
  <si>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</si>
  <si>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</si>
  <si>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</si>
  <si>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</si>
  <si>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</si>
  <si>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</si>
  <si>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</si>
  <si>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</si>
  <si>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</si>
  <si>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</si>
  <si>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</si>
  <si>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</si>
  <si>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</si>
  <si>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</si>
  <si>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</si>
  <si>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</si>
  <si>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</si>
  <si>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</si>
  <si>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</si>
  <si>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</si>
  <si>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</si>
  <si>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</si>
  <si>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</si>
  <si>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</si>
  <si>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</si>
  <si>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</si>
  <si>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</si>
  <si>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</si>
  <si>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</si>
  <si>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</si>
  <si>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</si>
  <si>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</si>
  <si>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</si>
  <si>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</si>
  <si>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</si>
  <si>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</si>
  <si>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</si>
  <si>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</si>
  <si>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</si>
  <si>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</si>
  <si>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</si>
  <si>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</si>
  <si>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</si>
  <si>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</si>
  <si>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</si>
  <si>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</si>
  <si>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</si>
  <si>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</si>
  <si>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</si>
  <si>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</si>
  <si>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</si>
  <si>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</si>
  <si>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</si>
  <si>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</si>
  <si>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</si>
  <si>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</si>
  <si>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</si>
  <si>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</si>
  <si>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</si>
  <si>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</si>
  <si>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</si>
  <si>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</si>
  <si>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</si>
  <si>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</si>
  <si>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</si>
  <si>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</si>
  <si>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</si>
  <si>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</si>
  <si>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</si>
  <si>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</si>
  <si>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</si>
  <si>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</si>
  <si>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</si>
  <si>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</si>
  <si>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</si>
  <si>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</si>
  <si>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</si>
  <si>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</si>
  <si>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</si>
  <si>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</si>
  <si>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</si>
  <si>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</si>
  <si>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</si>
  <si>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</si>
  <si>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</si>
  <si>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</si>
  <si>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</si>
  <si>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</si>
  <si>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</si>
  <si>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</si>
  <si>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</si>
  <si>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</si>
  <si>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</si>
  <si>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</si>
  <si>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</si>
  <si>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</si>
  <si>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</si>
  <si>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</si>
  <si>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</si>
  <si>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</si>
  <si>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</si>
  <si>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</si>
  <si>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</si>
  <si>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</si>
  <si>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</si>
  <si>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</si>
  <si>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</si>
  <si>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</si>
  <si>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</si>
  <si>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</si>
  <si>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</si>
  <si>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</si>
  <si>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</si>
  <si>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</si>
  <si>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</si>
  <si>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</si>
  <si>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</si>
  <si>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</si>
  <si>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</si>
  <si>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</si>
  <si>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</si>
  <si>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</si>
  <si>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</si>
  <si>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</si>
  <si>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</si>
  <si>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</si>
  <si>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</si>
  <si>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</si>
  <si>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</si>
  <si>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</si>
  <si>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</si>
  <si>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</si>
  <si>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</si>
  <si>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</si>
  <si>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</si>
  <si>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</si>
  <si>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</si>
  <si>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</si>
  <si>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</si>
  <si>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</si>
  <si>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</si>
  <si>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</si>
  <si>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</si>
  <si>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</si>
  <si>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</si>
  <si>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</si>
  <si>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</si>
  <si>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</si>
  <si>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</si>
  <si>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</si>
  <si>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</si>
  <si>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</si>
  <si>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</si>
  <si>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</si>
  <si>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</si>
  <si>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</si>
  <si>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</si>
  <si>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</si>
  <si>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</si>
  <si>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</si>
  <si>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</si>
  <si>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</si>
  <si>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</si>
  <si>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</si>
  <si>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</si>
  <si>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</si>
  <si>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</si>
  <si>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</si>
  <si>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</si>
  <si>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</si>
  <si>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</si>
  <si>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</si>
  <si>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</si>
  <si>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</si>
  <si>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</si>
  <si>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</si>
  <si>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</si>
  <si>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</si>
  <si>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</si>
  <si>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</si>
  <si>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</si>
  <si>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</si>
  <si>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</si>
  <si>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</si>
  <si>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</si>
  <si>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</si>
  <si>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</si>
  <si>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</si>
  <si>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</si>
  <si>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</si>
  <si>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</si>
  <si>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</si>
  <si>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</si>
  <si>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</si>
  <si>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</si>
  <si>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</si>
  <si>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</si>
  <si>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</si>
  <si>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</si>
  <si>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</si>
  <si>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</si>
  <si>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</si>
  <si>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</si>
  <si>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</si>
  <si>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</si>
  <si>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</si>
  <si>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</si>
  <si>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</si>
  <si>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</si>
  <si>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</si>
  <si>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</si>
  <si>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</si>
  <si>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</si>
  <si>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</si>
  <si>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</si>
  <si>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</si>
  <si>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</si>
  <si>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</si>
  <si>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</si>
  <si>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</si>
  <si>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</si>
  <si>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</si>
  <si>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</si>
  <si>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</si>
  <si>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</si>
  <si>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</si>
  <si>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</si>
  <si>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</si>
  <si>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</si>
  <si>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</si>
  <si>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</si>
  <si>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</si>
  <si>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</si>
  <si>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</si>
  <si>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</si>
  <si>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</si>
  <si>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</si>
  <si>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</si>
  <si>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</si>
  <si>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</si>
  <si>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</si>
  <si>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</si>
  <si>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</si>
  <si>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</si>
  <si>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</si>
  <si>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</si>
  <si>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</si>
  <si>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</si>
  <si>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</si>
  <si>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</si>
  <si>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</si>
  <si>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</si>
  <si>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</si>
  <si>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</si>
  <si>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</si>
  <si>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</si>
  <si>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</si>
  <si>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</si>
  <si>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</si>
  <si>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</si>
  <si>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</si>
  <si>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</si>
  <si>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</si>
  <si>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</si>
  <si>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</si>
  <si>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</si>
  <si>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</si>
  <si>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</si>
  <si>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</si>
  <si>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</si>
  <si>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</si>
  <si>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</si>
  <si>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</si>
  <si>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</si>
  <si>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</si>
  <si>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</si>
  <si>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</si>
  <si>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</si>
  <si>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</si>
  <si>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</si>
  <si>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</si>
  <si>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</si>
  <si>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</si>
  <si>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</si>
  <si>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</si>
  <si>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</si>
  <si>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</si>
  <si>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</si>
  <si>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</si>
  <si>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</si>
  <si>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</si>
  <si>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</si>
  <si>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</si>
  <si>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</si>
  <si>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</si>
  <si>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</si>
  <si>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</si>
  <si>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</si>
  <si>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</si>
  <si>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</si>
  <si>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</si>
  <si>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</si>
  <si>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</si>
  <si>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</si>
  <si>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</si>
  <si>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</si>
  <si>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</si>
  <si>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</si>
  <si>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</si>
  <si>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</si>
  <si>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</si>
  <si>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</si>
  <si>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</si>
  <si>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</si>
  <si>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</si>
  <si>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</si>
  <si>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</si>
  <si>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</si>
  <si>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</si>
  <si>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</si>
  <si>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</si>
  <si>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</si>
  <si>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</si>
  <si>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</si>
  <si>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</si>
  <si>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</si>
  <si>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</si>
  <si>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</si>
  <si>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</si>
  <si>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</si>
  <si>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</si>
  <si>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</si>
  <si>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</si>
  <si>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</si>
  <si>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</si>
  <si>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</si>
  <si>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</si>
  <si>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</si>
  <si>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</si>
  <si>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</si>
  <si>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</si>
  <si>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</si>
  <si>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</si>
  <si>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</si>
  <si>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</si>
  <si>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</si>
  <si>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</si>
  <si>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</si>
  <si>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</si>
  <si>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</si>
  <si>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</si>
  <si>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</si>
  <si>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</si>
  <si>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</si>
  <si>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</si>
  <si>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</si>
  <si>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</si>
  <si>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</si>
  <si>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</si>
  <si>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</si>
  <si>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</si>
  <si>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</si>
  <si>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</si>
  <si>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</si>
  <si>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</si>
  <si>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</si>
  <si>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</si>
  <si>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</si>
  <si>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</si>
  <si>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</si>
  <si>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</si>
  <si>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</si>
  <si>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</si>
  <si>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</si>
  <si>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</si>
  <si>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</si>
  <si>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</si>
  <si>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</si>
  <si>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</si>
  <si>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</si>
  <si>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</si>
  <si>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</si>
  <si>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</si>
  <si>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</si>
  <si>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</si>
  <si>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</si>
  <si>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</si>
  <si>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</si>
  <si>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</si>
  <si>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</si>
  <si>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</si>
  <si>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</si>
  <si>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</si>
  <si>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</si>
  <si>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</si>
  <si>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</si>
  <si>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</si>
  <si>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</si>
  <si>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</si>
  <si>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</si>
  <si>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</si>
  <si>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</si>
  <si>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</si>
  <si>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</si>
  <si>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</si>
  <si>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</si>
  <si>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</si>
  <si>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</si>
  <si>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</si>
  <si>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</si>
  <si>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</si>
  <si>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</si>
  <si>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</si>
  <si>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</si>
  <si>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</si>
  <si>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</si>
  <si>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</si>
  <si>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</si>
  <si>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</si>
  <si>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</si>
  <si>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</si>
  <si>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</si>
  <si>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</si>
  <si>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</si>
  <si>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</si>
  <si>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</si>
  <si>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</si>
  <si>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</si>
  <si>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</si>
  <si>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</si>
  <si>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</si>
  <si>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</si>
  <si>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</si>
  <si>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</si>
  <si>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</si>
  <si>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</si>
  <si>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</si>
  <si>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</si>
  <si>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</si>
  <si>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</si>
  <si>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</si>
  <si>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</si>
  <si>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</si>
  <si>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</si>
  <si>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</si>
  <si>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</si>
  <si>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</si>
  <si>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</si>
  <si>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</si>
  <si>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</si>
  <si>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</si>
  <si>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</si>
  <si>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</si>
  <si>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</si>
  <si>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</si>
  <si>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</si>
  <si>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</si>
  <si>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</si>
  <si>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</si>
  <si>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</si>
  <si>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</si>
  <si>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</si>
  <si>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</si>
  <si>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</si>
  <si>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</si>
  <si>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</si>
  <si>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</si>
  <si>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</si>
  <si>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</si>
  <si>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</si>
  <si>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</si>
  <si>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</si>
  <si>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</si>
  <si>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</si>
  <si>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</si>
  <si>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</si>
  <si>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</si>
  <si>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</si>
  <si>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</si>
  <si>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</si>
  <si>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</si>
  <si>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</si>
  <si>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</si>
  <si>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</si>
  <si>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</si>
  <si>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</si>
  <si>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</si>
  <si>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</si>
  <si>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</si>
  <si>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</si>
  <si>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</si>
  <si>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</si>
  <si>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</si>
  <si>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</si>
  <si>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</si>
  <si>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</si>
  <si>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</si>
  <si>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</si>
  <si>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</si>
  <si>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</si>
  <si>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</si>
  <si>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</si>
  <si>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</si>
  <si>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</si>
  <si>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</si>
  <si>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</si>
  <si>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</si>
  <si>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</si>
  <si>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</si>
  <si>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</si>
  <si>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</si>
  <si>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</si>
  <si>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</si>
  <si>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</si>
  <si>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</si>
  <si>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</si>
  <si>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</si>
  <si>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</si>
  <si>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</si>
  <si>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</si>
  <si>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</si>
  <si>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</si>
  <si>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</si>
  <si>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</si>
  <si>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</si>
  <si>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</si>
  <si>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</si>
  <si>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</si>
  <si>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</si>
  <si>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</si>
  <si>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</si>
  <si>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</si>
  <si>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</si>
  <si>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</si>
  <si>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</si>
  <si>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</si>
  <si>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</si>
  <si>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</si>
  <si>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</si>
  <si>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</si>
  <si>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</si>
  <si>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</si>
  <si>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</si>
  <si>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</si>
  <si>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</si>
  <si>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</si>
  <si>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</si>
  <si>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</si>
  <si>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</si>
  <si>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</si>
  <si>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</si>
  <si>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</si>
  <si>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</si>
  <si>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</si>
  <si>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</si>
  <si>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</si>
  <si>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</si>
  <si>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</si>
  <si>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</si>
  <si>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</si>
  <si>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</si>
  <si>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</si>
  <si>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</si>
  <si>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</si>
  <si>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</si>
  <si>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</si>
  <si>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</si>
  <si>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</si>
  <si>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</si>
  <si>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</si>
  <si>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</si>
  <si>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</si>
  <si>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</si>
  <si>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</si>
  <si>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</si>
  <si>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</si>
  <si>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</si>
  <si>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</si>
  <si>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</si>
  <si>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</si>
  <si>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</si>
  <si>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</si>
  <si>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</si>
  <si>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</si>
  <si>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</si>
  <si>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</si>
  <si>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</si>
  <si>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</si>
  <si>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</si>
  <si>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</si>
  <si>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</si>
  <si>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</si>
  <si>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</si>
  <si>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</si>
  <si>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</si>
  <si>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</si>
  <si>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</si>
  <si>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</si>
  <si>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</si>
  <si>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</si>
  <si>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</si>
  <si>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</si>
  <si>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</si>
  <si>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</si>
  <si>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</si>
  <si>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</si>
  <si>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</si>
  <si>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</si>
  <si>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</si>
  <si>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</si>
  <si>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</si>
  <si>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</si>
  <si>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</si>
  <si>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</si>
  <si>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</si>
  <si>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</si>
  <si>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</si>
  <si>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</si>
  <si>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</si>
  <si>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</si>
  <si>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</si>
  <si>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</si>
  <si>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</si>
  <si>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</si>
  <si>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</si>
  <si>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</si>
  <si>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</si>
  <si>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</si>
  <si>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</si>
  <si>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</si>
  <si>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</si>
  <si>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</si>
  <si>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</si>
  <si>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</si>
  <si>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</si>
  <si>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</si>
  <si>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</si>
  <si>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</si>
  <si>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</si>
  <si>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</si>
  <si>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</si>
  <si>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</si>
  <si>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</si>
  <si>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</si>
  <si>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</si>
  <si>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</si>
  <si>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</si>
  <si>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</si>
  <si>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</si>
  <si>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</si>
  <si>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</si>
  <si>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</si>
  <si>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</si>
  <si>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</si>
  <si>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</si>
  <si>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</si>
  <si>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</si>
  <si>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</si>
  <si>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</si>
  <si>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</si>
  <si>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</si>
  <si>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</si>
  <si>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</si>
  <si>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</si>
  <si>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</si>
  <si>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</si>
  <si>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</si>
  <si>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</si>
  <si>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</si>
  <si>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</si>
  <si>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</si>
  <si>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</si>
  <si>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</si>
  <si>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</si>
  <si>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</si>
  <si>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</si>
  <si>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</si>
  <si>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</si>
  <si>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</si>
  <si>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</si>
  <si>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</si>
  <si>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</si>
  <si>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</si>
  <si>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</si>
  <si>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</si>
  <si>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</si>
  <si>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</si>
  <si>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</si>
  <si>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</si>
  <si>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</si>
  <si>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</si>
  <si>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</si>
  <si>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</si>
  <si>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</si>
  <si>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</si>
  <si>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</si>
  <si>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</si>
  <si>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</si>
  <si>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</si>
  <si>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</si>
  <si>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</si>
  <si>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</si>
  <si>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</si>
  <si>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</si>
  <si>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</si>
  <si>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</si>
  <si>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</si>
  <si>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</si>
  <si>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</si>
  <si>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</si>
  <si>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</si>
  <si>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</si>
  <si>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</si>
  <si>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</si>
  <si>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</si>
  <si>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</si>
  <si>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</si>
  <si>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</si>
  <si>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</si>
  <si>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</si>
  <si>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</si>
  <si>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</si>
  <si>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</si>
  <si>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</si>
  <si>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</si>
  <si>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</si>
  <si>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</si>
  <si>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</si>
  <si>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</si>
  <si>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</si>
  <si>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</si>
  <si>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</si>
  <si>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</si>
  <si>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</si>
  <si>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</si>
  <si>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</si>
  <si>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</si>
  <si>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</si>
  <si>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</si>
  <si>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</si>
  <si>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</si>
  <si>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</si>
  <si>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</si>
  <si>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</si>
  <si>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</si>
  <si>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</si>
  <si>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</si>
  <si>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</si>
  <si>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</si>
  <si>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</si>
  <si>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</si>
  <si>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</si>
  <si>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</si>
  <si>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</si>
  <si>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</si>
  <si>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</si>
  <si>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</si>
  <si>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</si>
  <si>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</si>
  <si>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</si>
  <si>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</si>
  <si>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</si>
  <si>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</si>
  <si>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</si>
  <si>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</si>
  <si>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</si>
  <si>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</si>
  <si>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</si>
  <si>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</si>
  <si>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</si>
  <si>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</si>
  <si>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</si>
  <si>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</si>
  <si>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</si>
  <si>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</si>
  <si>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</si>
  <si>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</si>
  <si>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</si>
  <si>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</si>
  <si>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</si>
  <si>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</si>
  <si>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</si>
  <si>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</si>
  <si>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</si>
  <si>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</si>
  <si>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</si>
  <si>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</si>
  <si>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</si>
  <si>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</si>
  <si>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</si>
  <si>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</si>
  <si>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</si>
  <si>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</si>
  <si>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</si>
  <si>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</si>
  <si>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</si>
  <si>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</si>
  <si>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</si>
  <si>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</si>
  <si>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</si>
  <si>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</si>
  <si>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</si>
  <si>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</si>
  <si>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</si>
  <si>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</si>
  <si>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</si>
  <si>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</si>
  <si>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</si>
  <si>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</si>
  <si>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</si>
  <si>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</si>
  <si>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</si>
  <si>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</si>
  <si>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</si>
  <si>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</si>
  <si>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</si>
  <si>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</si>
  <si>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</si>
  <si>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</si>
  <si>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</si>
  <si>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</si>
  <si>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</si>
  <si>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</si>
  <si>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</si>
  <si>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</si>
  <si>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</si>
  <si>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</si>
  <si>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</si>
  <si>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</si>
  <si>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</si>
  <si>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</si>
  <si>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</si>
  <si>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</si>
  <si>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</si>
  <si>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</si>
  <si>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</si>
  <si>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</si>
  <si>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</si>
  <si>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</si>
  <si>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</si>
  <si>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</si>
  <si>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</si>
  <si>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</si>
  <si>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</si>
  <si>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</si>
  <si>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</si>
  <si>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</si>
  <si>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</si>
  <si>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</si>
  <si>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</si>
  <si>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</si>
  <si>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</si>
  <si>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</si>
  <si>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</si>
  <si>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</si>
  <si>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</si>
  <si>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</si>
  <si>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</si>
  <si>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</si>
  <si>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</si>
  <si>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</si>
  <si>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</si>
  <si>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</si>
  <si>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</si>
  <si>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</si>
  <si>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</si>
  <si>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</si>
  <si>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</si>
  <si>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</si>
  <si>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</si>
  <si>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</si>
  <si>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</si>
  <si>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</si>
  <si>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</si>
  <si>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</si>
  <si>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</si>
  <si>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</si>
  <si>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</si>
  <si>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</si>
  <si>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</si>
  <si>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</si>
  <si>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</si>
  <si>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</si>
  <si>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</si>
  <si>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</si>
  <si>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</si>
  <si>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</si>
  <si>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</si>
  <si>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</si>
  <si>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</si>
  <si>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</si>
  <si>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</si>
  <si>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</si>
  <si>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</si>
  <si>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</si>
  <si>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</si>
  <si>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</si>
  <si>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</si>
  <si>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</si>
  <si>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</si>
  <si>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</si>
  <si>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</si>
  <si>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</si>
  <si>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</si>
  <si>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</si>
  <si>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</si>
  <si>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</si>
  <si>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</si>
  <si>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</si>
  <si>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</si>
  <si>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</si>
  <si>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</si>
  <si>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</si>
  <si>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</si>
  <si>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</si>
  <si>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</si>
  <si>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</si>
  <si>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</si>
  <si>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</si>
  <si>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</si>
  <si>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</si>
  <si>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</si>
  <si>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</si>
  <si>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</si>
  <si>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</si>
  <si>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</si>
  <si>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</si>
  <si>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</si>
  <si>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</si>
  <si>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</si>
  <si>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</si>
  <si>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</si>
  <si>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</si>
  <si>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</si>
  <si>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</si>
  <si>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</si>
  <si>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</si>
  <si>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</si>
  <si>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</si>
  <si>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</si>
  <si>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</si>
  <si>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</si>
  <si>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</si>
  <si>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</si>
  <si>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</si>
  <si>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</si>
  <si>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</si>
  <si>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</si>
  <si>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</si>
  <si>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</si>
  <si>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</si>
  <si>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</si>
  <si>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</si>
  <si>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</si>
  <si>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</si>
  <si>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</si>
  <si>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</si>
  <si>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</si>
  <si>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</si>
  <si>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</si>
  <si>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</si>
  <si>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</si>
  <si>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</si>
  <si>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</si>
  <si>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</si>
  <si>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</si>
  <si>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</si>
  <si>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</si>
  <si>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</si>
  <si>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</si>
  <si>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</si>
  <si>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</si>
  <si>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</si>
  <si>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</si>
  <si>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</si>
  <si>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</si>
  <si>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</si>
  <si>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</si>
  <si>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</si>
  <si>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</si>
  <si>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</si>
  <si>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</si>
  <si>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</si>
  <si>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</si>
  <si>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</si>
  <si>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</si>
  <si>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</si>
  <si>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</si>
  <si>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</si>
  <si>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</si>
  <si>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</si>
  <si>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</si>
  <si>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</si>
  <si>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</si>
  <si>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</si>
  <si>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</si>
  <si>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</si>
  <si>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</si>
  <si>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</si>
  <si>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</si>
  <si>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</si>
  <si>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</si>
  <si>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</si>
  <si>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</si>
  <si>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</si>
  <si>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</si>
  <si>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</si>
  <si>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</si>
  <si>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</si>
  <si>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</si>
  <si>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</si>
  <si>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</si>
  <si>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</si>
  <si>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</si>
  <si>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</si>
  <si>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</si>
  <si>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</si>
  <si>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</si>
  <si>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</si>
  <si>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</si>
  <si>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</si>
  <si>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</si>
  <si>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</si>
  <si>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</si>
  <si>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</si>
  <si>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</si>
  <si>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</si>
  <si>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</si>
  <si>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</si>
  <si>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</si>
  <si>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</si>
  <si>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</si>
  <si>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</si>
  <si>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</si>
  <si>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</si>
  <si>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</si>
  <si>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</si>
  <si>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</si>
  <si>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</si>
  <si>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</si>
  <si>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</si>
  <si>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</si>
  <si>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</si>
  <si>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</si>
  <si>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</si>
  <si>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</si>
  <si>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</si>
  <si>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</si>
  <si>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</si>
  <si>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</si>
  <si>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</si>
  <si>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</si>
  <si>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</si>
  <si>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</si>
  <si>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</si>
  <si>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</si>
  <si>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</si>
  <si>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</si>
  <si>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</si>
  <si>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</si>
  <si>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</si>
  <si>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</si>
  <si>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</si>
  <si>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</si>
  <si>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</si>
  <si>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</si>
  <si>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</si>
  <si>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Delta Electronics Manufacturing Corp</t>
  </si>
  <si>
    <t>Company-wide</t>
  </si>
  <si>
    <t>04-276-8820</t>
  </si>
  <si>
    <t>DUNS</t>
  </si>
  <si>
    <t>416 Cabot Street, Beverly, MA 01915</t>
  </si>
  <si>
    <t>Mark Reagan</t>
  </si>
  <si>
    <t>mreagan@deltarf.com</t>
  </si>
  <si>
    <t>978-927-1060</t>
  </si>
  <si>
    <t>Director of Quality Assurance</t>
  </si>
  <si>
    <t>100%</t>
  </si>
  <si>
    <t>ww.deltarf.com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</si>
</sst>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reagan@deltarf.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reagan@deltarf.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DCFB6B0-91B7-481F-9104-95BA208BFA8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D0CB477-3A12-4FB4-A900-6DE2090CF5F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87" sqref="B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45408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15865</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412649E-2F94-4C9A-A7FC-02BD1F274E47}"/>
    <hyperlink ref="D20" r:id="rId4" xr:uid="{5739C9AB-DBA8-4A2B-9405-A50F2CB685C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D14" sqref="D1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1119</v>
      </c>
      <c r="C5" s="186" t="s">
        <v>1217</v>
      </c>
      <c r="D5" s="230"/>
      <c r="E5" s="182" t="s">
        <v>2415</v>
      </c>
      <c r="F5" s="182" t="s">
        <v>702</v>
      </c>
      <c r="G5" s="182" t="s">
        <v>13217</v>
      </c>
      <c r="H5" s="183">
        <v>0</v>
      </c>
      <c r="I5" s="184" t="s">
        <v>1616</v>
      </c>
      <c r="J5" s="184" t="s">
        <v>1617</v>
      </c>
      <c r="K5" s="224"/>
      <c r="L5" s="224"/>
      <c r="M5" s="224"/>
      <c r="N5" s="224"/>
      <c r="O5" s="224"/>
      <c r="P5" s="185"/>
      <c r="Q5" s="225"/>
      <c r="R5" s="182" t="str">
        <f ca="1">IF(ISERROR($V5),"",OFFSET('Smelter Look-up'!$C$4,$V5-4,0)&amp;"")</f>
        <v>Metalor USA Refining Corporation</v>
      </c>
      <c r="S5" s="181" t="str">
        <f ca="1">IF(B5="","",IF(ISERROR(MATCH($E5,CL,0)),"Unknown",INDIRECT("'C'!$A$"&amp;MATCH($E5,CL,0)+1)))</f>
        <v>US</v>
      </c>
      <c r="T5" s="181" t="str">
        <f ca="1">IF(B5="","",IF(ISERROR(MATCH($J5,SorP!$B$1:$B$6226,0)),"",INDIRECT("'SorP'!$A$"&amp;MATCH($S5&amp;$J5,SorP!C:C,0))))</f>
        <v>US-MA</v>
      </c>
      <c r="U5" s="201"/>
      <c r="V5" s="226">
        <f>IF(C5="",NA(),IF(OR(C5="Smelter not listed",C5="Smelter not yet identified"),MATCH($B5&amp;$D5,'Smelter Look-up'!$J:$J,0),MATCH($B5&amp;$C5,'Smelter Look-up'!$J:$J,0)))</f>
        <v>187</v>
      </c>
      <c r="X5" s="227">
        <f t="shared" ref="X5" si="0">IF(AND(C5="Smelter not listed",OR(LEN(D5)=0,LEN(E5)=0)),1,0)</f>
        <v>0</v>
      </c>
      <c r="AB5" s="228" t="str">
        <f t="shared" ref="AB5" si="1">B5&amp;C5</f>
        <v>GoldMetalor USA Refining Corporation</v>
      </c>
    </row>
    <row r="6" spans="1:34" s="227" customFormat="1" ht="20.100000000000001" customHeight="1">
      <c r="A6" s="262"/>
      <c r="B6" s="182" t="s">
        <v>1119</v>
      </c>
      <c r="C6" s="186" t="s">
        <v>903</v>
      </c>
      <c r="D6" s="230"/>
      <c r="E6" s="182" t="s">
        <v>1087</v>
      </c>
      <c r="F6" s="182" t="s">
        <v>718</v>
      </c>
      <c r="G6" s="182" t="s">
        <v>13217</v>
      </c>
      <c r="H6" s="183">
        <v>0</v>
      </c>
      <c r="I6" s="184" t="s">
        <v>1637</v>
      </c>
      <c r="J6" s="184" t="s">
        <v>1595</v>
      </c>
      <c r="K6" s="224"/>
      <c r="L6" s="224"/>
      <c r="M6" s="224"/>
      <c r="N6" s="224"/>
      <c r="O6" s="224"/>
      <c r="P6" s="185"/>
      <c r="Q6" s="225"/>
      <c r="R6" s="182" t="str">
        <f ca="1">IF(ISERROR($V6),"",OFFSET('Smelter Look-up'!$C$4,$V6-4,0)&amp;"")</f>
        <v>Royal Canadian Mint</v>
      </c>
      <c r="S6" s="181" t="str">
        <f t="shared" ref="S6:S37" ca="1" si="2">IF(B6="","",IF(ISERROR(MATCH($E6,CL,0)),"Unknown",INDIRECT("'C'!$A$"&amp;MATCH($E6,CL,0)+1)))</f>
        <v>CA</v>
      </c>
      <c r="T6" s="181" t="str">
        <f ca="1">IF(B6="","",IF(ISERROR(MATCH($J6,SorP!$B$1:$B$6226,0)),"",INDIRECT("'SorP'!$A$"&amp;MATCH($S6&amp;$J6,SorP!C:C,0))))</f>
        <v>CA-ON</v>
      </c>
      <c r="U6" s="201"/>
      <c r="V6" s="226">
        <f>IF(C6="",NA(),IF(OR(C6="Smelter not listed",C6="Smelter not yet identified"),MATCH($B6&amp;$D6,'Smelter Look-up'!$J:$J,0),MATCH($B6&amp;$C6,'Smelter Look-up'!$J:$J,0)))</f>
        <v>232</v>
      </c>
      <c r="X6" s="227">
        <f t="shared" ref="X6:X37" si="3">IF(AND(C6="Smelter not listed",OR(LEN(D6)=0,LEN(E6)=0)),1,0)</f>
        <v>0</v>
      </c>
      <c r="AB6" s="228" t="str">
        <f t="shared" ref="AB6:AB37" si="4">B6&amp;C6</f>
        <v>GoldRoyal Canadian Mint</v>
      </c>
    </row>
    <row r="7" spans="1:34" s="227" customFormat="1" ht="20.100000000000001" customHeight="1">
      <c r="A7" s="262"/>
      <c r="B7" s="182" t="s">
        <v>1119</v>
      </c>
      <c r="C7" s="186" t="s">
        <v>1222</v>
      </c>
      <c r="D7" s="230"/>
      <c r="E7" s="182" t="s">
        <v>1090</v>
      </c>
      <c r="F7" s="182" t="s">
        <v>739</v>
      </c>
      <c r="G7" s="182" t="s">
        <v>13217</v>
      </c>
      <c r="H7" s="183">
        <v>0</v>
      </c>
      <c r="I7" s="184" t="s">
        <v>1678</v>
      </c>
      <c r="J7" s="184" t="s">
        <v>13598</v>
      </c>
      <c r="K7" s="224"/>
      <c r="L7" s="224"/>
      <c r="M7" s="224"/>
      <c r="N7" s="224"/>
      <c r="O7" s="224"/>
      <c r="P7" s="185"/>
      <c r="Q7" s="225"/>
      <c r="R7" s="182" t="str">
        <f ca="1">IF(ISERROR($V7),"",OFFSET('Smelter Look-up'!$C$4,$V7-4,0)&amp;"")</f>
        <v>Zhongyuan Gold Smelter of Zhongjin Gold Corporation</v>
      </c>
      <c r="S7" s="181" t="str">
        <f t="shared" ca="1" si="2"/>
        <v>CN</v>
      </c>
      <c r="T7" s="181" t="str">
        <f ca="1">IF(B7="","",IF(ISERROR(MATCH($J7,SorP!$B$1:$B$6226,0)),"",INDIRECT("'SorP'!$A$"&amp;MATCH($S7&amp;$J7,SorP!C:C,0))))</f>
        <v>CN-HA</v>
      </c>
      <c r="U7" s="201"/>
      <c r="V7" s="226">
        <f>IF(C7="",NA(),IF(OR(C7="Smelter not listed",C7="Smelter not yet identified"),MATCH($B7&amp;$D7,'Smelter Look-up'!$J:$J,0),MATCH($B7&amp;$C7,'Smelter Look-up'!$J:$J,0)))</f>
        <v>326</v>
      </c>
      <c r="X7" s="227">
        <f t="shared" si="3"/>
        <v>0</v>
      </c>
      <c r="AB7" s="228" t="str">
        <f t="shared" si="4"/>
        <v>GoldZhongjin Gold Corporation Limited</v>
      </c>
    </row>
    <row r="8" spans="1:34" s="227" customFormat="1" ht="20.100000000000001" customHeight="1">
      <c r="A8" s="262"/>
      <c r="B8" s="182" t="s">
        <v>1119</v>
      </c>
      <c r="C8" s="186" t="s">
        <v>1156</v>
      </c>
      <c r="D8" s="230"/>
      <c r="E8" s="182" t="s">
        <v>1088</v>
      </c>
      <c r="F8" s="182" t="s">
        <v>701</v>
      </c>
      <c r="G8" s="182" t="s">
        <v>13217</v>
      </c>
      <c r="H8" s="183">
        <v>0</v>
      </c>
      <c r="I8" s="184" t="s">
        <v>1614</v>
      </c>
      <c r="J8" s="184" t="s">
        <v>1615</v>
      </c>
      <c r="K8" s="224"/>
      <c r="L8" s="224"/>
      <c r="M8" s="224"/>
      <c r="N8" s="224"/>
      <c r="O8" s="224"/>
      <c r="P8" s="185"/>
      <c r="Q8" s="225"/>
      <c r="R8" s="182" t="str">
        <f ca="1">IF(ISERROR($V8),"",OFFSET('Smelter Look-up'!$C$4,$V8-4,0)&amp;"")</f>
        <v>Metalor Technologies S.A.</v>
      </c>
      <c r="S8" s="181" t="str">
        <f t="shared" ca="1" si="2"/>
        <v>CH</v>
      </c>
      <c r="T8" s="181" t="str">
        <f ca="1">IF(B8="","",IF(ISERROR(MATCH($J8,SorP!$B$1:$B$6226,0)),"",INDIRECT("'SorP'!$A$"&amp;MATCH($S8&amp;$J8,SorP!C:C,0))))</f>
        <v>CH-NE</v>
      </c>
      <c r="U8" s="201"/>
      <c r="V8" s="226">
        <f>IF(C8="",NA(),IF(OR(C8="Smelter not listed",C8="Smelter not yet identified"),MATCH($B8&amp;$D8,'Smelter Look-up'!$J:$J,0),MATCH($B8&amp;$C8,'Smelter Look-up'!$J:$J,0)))</f>
        <v>182</v>
      </c>
      <c r="X8" s="227">
        <f t="shared" si="3"/>
        <v>0</v>
      </c>
      <c r="AB8" s="228" t="str">
        <f t="shared" si="4"/>
        <v>GoldMetalor Switzerland</v>
      </c>
    </row>
    <row r="9" spans="1:34" s="227" customFormat="1" ht="20.100000000000001" customHeight="1">
      <c r="A9" s="262"/>
      <c r="B9" s="182" t="s">
        <v>1119</v>
      </c>
      <c r="C9" s="186" t="s">
        <v>810</v>
      </c>
      <c r="D9" s="230"/>
      <c r="E9" s="182" t="s">
        <v>2415</v>
      </c>
      <c r="F9" s="182" t="s">
        <v>733</v>
      </c>
      <c r="G9" s="182" t="s">
        <v>13217</v>
      </c>
      <c r="H9" s="183">
        <v>0</v>
      </c>
      <c r="I9" s="184" t="s">
        <v>1669</v>
      </c>
      <c r="J9" s="184" t="s">
        <v>1609</v>
      </c>
      <c r="K9" s="224"/>
      <c r="L9" s="224"/>
      <c r="M9" s="224"/>
      <c r="N9" s="224"/>
      <c r="O9" s="224"/>
      <c r="P9" s="185"/>
      <c r="Q9" s="225"/>
      <c r="R9" s="182" t="str">
        <f ca="1">IF(ISERROR($V9),"",OFFSET('Smelter Look-up'!$C$4,$V9-4,0)&amp;"")</f>
        <v>United Precious Metal Refining, Inc.</v>
      </c>
      <c r="S9" s="181" t="str">
        <f t="shared" ca="1" si="2"/>
        <v>US</v>
      </c>
      <c r="T9" s="181" t="str">
        <f ca="1">IF(B9="","",IF(ISERROR(MATCH($J9,SorP!$B$1:$B$6226,0)),"",INDIRECT("'SorP'!$A$"&amp;MATCH($S9&amp;$J9,SorP!C:C,0))))</f>
        <v>US-NY</v>
      </c>
      <c r="U9" s="201"/>
      <c r="V9" s="226">
        <f>IF(C9="",NA(),IF(OR(C9="Smelter not listed",C9="Smelter not yet identified"),MATCH($B9&amp;$D9,'Smelter Look-up'!$J:$J,0),MATCH($B9&amp;$C9,'Smelter Look-up'!$J:$J,0)))</f>
        <v>304</v>
      </c>
      <c r="X9" s="227">
        <f t="shared" si="3"/>
        <v>0</v>
      </c>
      <c r="AB9" s="228" t="str">
        <f t="shared" si="4"/>
        <v>GoldUnited Precious Metal Refining, Inc.</v>
      </c>
    </row>
    <row r="10" spans="1:34" s="227" customFormat="1" ht="20.100000000000001" customHeight="1">
      <c r="A10" s="262"/>
      <c r="B10" s="182" t="s">
        <v>1120</v>
      </c>
      <c r="C10" s="186" t="s">
        <v>1024</v>
      </c>
      <c r="D10" s="230"/>
      <c r="E10" s="182" t="s">
        <v>870</v>
      </c>
      <c r="F10" s="182" t="s">
        <v>768</v>
      </c>
      <c r="G10" s="182" t="s">
        <v>13217</v>
      </c>
      <c r="H10" s="183">
        <v>0</v>
      </c>
      <c r="I10" s="184" t="s">
        <v>1771</v>
      </c>
      <c r="J10" s="184" t="s">
        <v>9093</v>
      </c>
      <c r="K10" s="224"/>
      <c r="L10" s="224"/>
      <c r="M10" s="224"/>
      <c r="N10" s="224"/>
      <c r="O10" s="224"/>
      <c r="P10" s="185"/>
      <c r="Q10" s="225"/>
      <c r="R10" s="182" t="str">
        <f ca="1">IF(ISERROR($V10),"",OFFSET('Smelter Look-up'!$C$4,$V10-4,0)&amp;"")</f>
        <v>Minsur</v>
      </c>
      <c r="S10" s="181" t="str">
        <f t="shared" ca="1" si="2"/>
        <v>PE</v>
      </c>
      <c r="T10" s="181" t="str">
        <f ca="1">IF(B10="","",IF(ISERROR(MATCH($J10,SorP!$B$1:$B$6226,0)),"",INDIRECT("'SorP'!$A$"&amp;MATCH($S10&amp;$J10,SorP!C:C,0))))</f>
        <v>PE-ICA</v>
      </c>
      <c r="U10" s="201"/>
      <c r="V10" s="226">
        <f>IF(C10="",NA(),IF(OR(C10="Smelter not listed",C10="Smelter not yet identified"),MATCH($B10&amp;$D10,'Smelter Look-up'!$J:$J,0),MATCH($B10&amp;$C10,'Smelter Look-up'!$J:$J,0)))</f>
        <v>487</v>
      </c>
      <c r="X10" s="227">
        <f t="shared" si="3"/>
        <v>0</v>
      </c>
      <c r="AB10" s="228" t="str">
        <f t="shared" si="4"/>
        <v>TinMinsur</v>
      </c>
    </row>
    <row r="11" spans="1:34" s="227" customFormat="1" ht="20.100000000000001" customHeight="1">
      <c r="A11" s="262"/>
      <c r="B11" s="182" t="s">
        <v>1120</v>
      </c>
      <c r="C11" s="186" t="s">
        <v>832</v>
      </c>
      <c r="D11" s="230"/>
      <c r="E11" s="182" t="s">
        <v>2413</v>
      </c>
      <c r="F11" s="182" t="s">
        <v>759</v>
      </c>
      <c r="G11" s="182" t="s">
        <v>13217</v>
      </c>
      <c r="H11" s="183">
        <v>0</v>
      </c>
      <c r="I11" s="184" t="s">
        <v>1755</v>
      </c>
      <c r="J11" s="184" t="s">
        <v>1755</v>
      </c>
      <c r="K11" s="224"/>
      <c r="L11" s="224"/>
      <c r="M11" s="224"/>
      <c r="N11" s="224"/>
      <c r="O11" s="224"/>
      <c r="P11" s="185"/>
      <c r="Q11" s="225"/>
      <c r="R11" s="182" t="str">
        <f ca="1">IF(ISERROR($V11),"",OFFSET('Smelter Look-up'!$C$4,$V11-4,0)&amp;"")</f>
        <v>EM Vinto</v>
      </c>
      <c r="S11" s="181" t="str">
        <f t="shared" ca="1" si="2"/>
        <v>BO</v>
      </c>
      <c r="T11" s="181" t="str">
        <f ca="1">IF(B11="","",IF(ISERROR(MATCH($J11,SorP!$B$1:$B$6226,0)),"",INDIRECT("'SorP'!$A$"&amp;MATCH($S11&amp;$J11,SorP!C:C,0))))</f>
        <v>BO-O</v>
      </c>
      <c r="U11" s="201"/>
      <c r="V11" s="226">
        <f>IF(C11="",NA(),IF(OR(C11="Smelter not listed",C11="Smelter not yet identified"),MATCH($B11&amp;$D11,'Smelter Look-up'!$J:$J,0),MATCH($B11&amp;$C11,'Smelter Look-up'!$J:$J,0)))</f>
        <v>433</v>
      </c>
      <c r="X11" s="227">
        <f t="shared" si="3"/>
        <v>0</v>
      </c>
      <c r="AB11" s="228" t="str">
        <f t="shared" si="4"/>
        <v>TinEM Vinto</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57F3427-2ADD-4EE5-AE49-DEE41373DC00}"/>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Delta Electronics Manufacturing Corp</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Company-wide</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Mark Reagan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mreagan@deltarf.com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978-927-1060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Mark Reagan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mreagan@deltarf.com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45408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ww.deltarf.com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3AB4DD97-4BC9-44EC-A09C-C3A516FCB28C}"/>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Mark Reagan</cp:lastModifiedBy>
  <cp:lastPrinted>2015-04-21T20:47:43Z</cp:lastPrinted>
  <dcterms:created xsi:type="dcterms:W3CDTF">2010-06-21T21:00:23Z</dcterms:created>
  <dcterms:modified xsi:type="dcterms:W3CDTF">2024-07-29T14:31:27Z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