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autoCompressPictures="0"/>
  <mc:AlternateContent xmlns:mc="http://schemas.openxmlformats.org/markup-compatibility/2006">
    <mc:Choice Requires="x15">
      <x15ac:absPath xmlns:x15ac="http://schemas.microsoft.com/office/spreadsheetml/2010/11/ac" url="C:\Users\deep\Downloads\"/>
    </mc:Choice>
  </mc:AlternateContent>
  <xr:revisionPtr revIDLastSave="0" documentId="13_ncr:1_{0A1DD057-70D9-4B69-BA0E-2DF94A956EB1}"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08" yWindow="-108" windowWidth="23256" windowHeight="1245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 i="5" l="1"/>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T5" i="5"/>
  <c r="B5" i="5"/>
  <c r="V5" i="5"/>
  <c r="J5" i="5"/>
  <c r="E5" i="5"/>
  <c r="X5" i="5" s="1"/>
  <c r="S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6" i="5"/>
  <c r="B7" i="5"/>
  <c r="B8" i="5"/>
  <c r="C5" i="5"/>
  <c r="C6" i="5"/>
  <c r="V6" i="5"/>
  <c r="J6" i="5"/>
  <c r="C7" i="5"/>
  <c r="V7" i="5"/>
  <c r="J7" i="5"/>
  <c r="C8" i="5"/>
  <c r="V8" i="5"/>
  <c r="J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69" i="6" s="1"/>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E6" i="5"/>
  <c r="E7" i="5"/>
  <c r="X7" i="5" s="1"/>
  <c r="E8" i="5"/>
  <c r="X8" i="5" s="1"/>
  <c r="V9" i="5"/>
  <c r="E9" i="5"/>
  <c r="X9" i="5" s="1"/>
  <c r="V10" i="5"/>
  <c r="E10" i="5"/>
  <c r="X10" i="5" s="1"/>
  <c r="V11" i="5"/>
  <c r="E11" i="5"/>
  <c r="X11" i="5" s="1"/>
  <c r="V12" i="5"/>
  <c r="E12" i="5"/>
  <c r="X12" i="5" s="1"/>
  <c r="V13" i="5"/>
  <c r="E13" i="5"/>
  <c r="X13" i="5" s="1"/>
  <c r="V14" i="5"/>
  <c r="E14" i="5"/>
  <c r="X14" i="5" s="1"/>
  <c r="V15" i="5"/>
  <c r="E15" i="5"/>
  <c r="X15" i="5" s="1"/>
  <c r="V16" i="5"/>
  <c r="E16" i="5"/>
  <c r="X16" i="5" s="1"/>
  <c r="V17" i="5"/>
  <c r="E17" i="5"/>
  <c r="X17" i="5" s="1"/>
  <c r="V18" i="5"/>
  <c r="E18" i="5"/>
  <c r="X18" i="5" s="1"/>
  <c r="V19" i="5"/>
  <c r="E19" i="5"/>
  <c r="X19" i="5" s="1"/>
  <c r="V20" i="5"/>
  <c r="E20" i="5"/>
  <c r="X20" i="5" s="1"/>
  <c r="V21" i="5"/>
  <c r="E21" i="5"/>
  <c r="X21" i="5" s="1"/>
  <c r="V22" i="5"/>
  <c r="E22" i="5"/>
  <c r="X22" i="5" s="1"/>
  <c r="V23" i="5"/>
  <c r="E23" i="5"/>
  <c r="X23" i="5" s="1"/>
  <c r="V24" i="5"/>
  <c r="E24" i="5"/>
  <c r="X24" i="5" s="1"/>
  <c r="V25" i="5"/>
  <c r="E25" i="5"/>
  <c r="X25" i="5" s="1"/>
  <c r="V26" i="5"/>
  <c r="E26" i="5"/>
  <c r="X26" i="5" s="1"/>
  <c r="V27" i="5"/>
  <c r="E27" i="5"/>
  <c r="X27" i="5" s="1"/>
  <c r="V28" i="5"/>
  <c r="E28" i="5"/>
  <c r="X28" i="5" s="1"/>
  <c r="V29" i="5"/>
  <c r="E29" i="5"/>
  <c r="X29" i="5" s="1"/>
  <c r="V30" i="5"/>
  <c r="E30" i="5"/>
  <c r="X30" i="5" s="1"/>
  <c r="V31" i="5"/>
  <c r="E31" i="5"/>
  <c r="X31" i="5" s="1"/>
  <c r="V32" i="5"/>
  <c r="E32" i="5"/>
  <c r="X32" i="5" s="1"/>
  <c r="V33" i="5"/>
  <c r="E33" i="5"/>
  <c r="X33" i="5" s="1"/>
  <c r="V34" i="5"/>
  <c r="E34" i="5"/>
  <c r="X34" i="5" s="1"/>
  <c r="V35" i="5"/>
  <c r="E35" i="5"/>
  <c r="X35" i="5" s="1"/>
  <c r="V36" i="5"/>
  <c r="E36" i="5"/>
  <c r="X36" i="5" s="1"/>
  <c r="V37" i="5"/>
  <c r="E37" i="5"/>
  <c r="X37" i="5" s="1"/>
  <c r="V38" i="5"/>
  <c r="E38" i="5"/>
  <c r="X38" i="5" s="1"/>
  <c r="V39" i="5"/>
  <c r="E39" i="5"/>
  <c r="X39" i="5" s="1"/>
  <c r="V40" i="5"/>
  <c r="E40" i="5"/>
  <c r="X40" i="5" s="1"/>
  <c r="V41" i="5"/>
  <c r="E41" i="5"/>
  <c r="X41" i="5" s="1"/>
  <c r="V42" i="5"/>
  <c r="E42" i="5"/>
  <c r="X42" i="5" s="1"/>
  <c r="V43" i="5"/>
  <c r="E43" i="5"/>
  <c r="X43" i="5" s="1"/>
  <c r="V44" i="5"/>
  <c r="E44" i="5"/>
  <c r="X44" i="5" s="1"/>
  <c r="V45" i="5"/>
  <c r="E45" i="5"/>
  <c r="X45" i="5" s="1"/>
  <c r="V46" i="5"/>
  <c r="E46" i="5"/>
  <c r="X46" i="5" s="1"/>
  <c r="V47" i="5"/>
  <c r="E47" i="5"/>
  <c r="X47" i="5" s="1"/>
  <c r="V48" i="5"/>
  <c r="E48" i="5"/>
  <c r="X48" i="5" s="1"/>
  <c r="V49" i="5"/>
  <c r="E49" i="5"/>
  <c r="X49" i="5" s="1"/>
  <c r="V50" i="5"/>
  <c r="E50" i="5"/>
  <c r="X50" i="5" s="1"/>
  <c r="V51" i="5"/>
  <c r="E51" i="5"/>
  <c r="X51" i="5" s="1"/>
  <c r="V52" i="5"/>
  <c r="E52" i="5"/>
  <c r="X52" i="5" s="1"/>
  <c r="V53" i="5"/>
  <c r="E53" i="5"/>
  <c r="X53" i="5" s="1"/>
  <c r="V54" i="5"/>
  <c r="E54" i="5"/>
  <c r="X54" i="5" s="1"/>
  <c r="V55" i="5"/>
  <c r="E55" i="5"/>
  <c r="X55" i="5" s="1"/>
  <c r="V56" i="5"/>
  <c r="E56" i="5"/>
  <c r="X56" i="5" s="1"/>
  <c r="V57" i="5"/>
  <c r="E57" i="5"/>
  <c r="X57" i="5" s="1"/>
  <c r="V58" i="5"/>
  <c r="E58" i="5"/>
  <c r="X58" i="5" s="1"/>
  <c r="V59" i="5"/>
  <c r="E59" i="5"/>
  <c r="X59" i="5" s="1"/>
  <c r="V60" i="5"/>
  <c r="E60" i="5"/>
  <c r="X60" i="5" s="1"/>
  <c r="V61" i="5"/>
  <c r="E61" i="5"/>
  <c r="X61" i="5" s="1"/>
  <c r="V62" i="5"/>
  <c r="E62" i="5"/>
  <c r="X62" i="5" s="1"/>
  <c r="V63" i="5"/>
  <c r="E63" i="5"/>
  <c r="X63" i="5" s="1"/>
  <c r="V64" i="5"/>
  <c r="E64" i="5"/>
  <c r="X64" i="5" s="1"/>
  <c r="V65" i="5"/>
  <c r="E65" i="5"/>
  <c r="X65" i="5" s="1"/>
  <c r="V66" i="5"/>
  <c r="E66" i="5"/>
  <c r="X66" i="5" s="1"/>
  <c r="V67" i="5"/>
  <c r="E67" i="5"/>
  <c r="X67" i="5" s="1"/>
  <c r="V68" i="5"/>
  <c r="E68" i="5"/>
  <c r="X68" i="5" s="1"/>
  <c r="V69" i="5"/>
  <c r="E69" i="5"/>
  <c r="X69" i="5" s="1"/>
  <c r="V70" i="5"/>
  <c r="E70" i="5"/>
  <c r="X70" i="5" s="1"/>
  <c r="V71" i="5"/>
  <c r="E71" i="5"/>
  <c r="X71" i="5" s="1"/>
  <c r="V72" i="5"/>
  <c r="E72" i="5"/>
  <c r="X72" i="5" s="1"/>
  <c r="V73" i="5"/>
  <c r="E73" i="5"/>
  <c r="X73" i="5" s="1"/>
  <c r="V74" i="5"/>
  <c r="E74" i="5"/>
  <c r="X74" i="5" s="1"/>
  <c r="V75" i="5"/>
  <c r="E75" i="5"/>
  <c r="X75" i="5" s="1"/>
  <c r="V76" i="5"/>
  <c r="E76" i="5"/>
  <c r="X76" i="5" s="1"/>
  <c r="V77" i="5"/>
  <c r="E77" i="5"/>
  <c r="X77" i="5" s="1"/>
  <c r="V78" i="5"/>
  <c r="E78" i="5"/>
  <c r="X78" i="5" s="1"/>
  <c r="V79" i="5"/>
  <c r="E79" i="5"/>
  <c r="X79" i="5" s="1"/>
  <c r="V80" i="5"/>
  <c r="E80" i="5"/>
  <c r="X80" i="5" s="1"/>
  <c r="V81" i="5"/>
  <c r="E81" i="5"/>
  <c r="X81" i="5" s="1"/>
  <c r="V82" i="5"/>
  <c r="E82" i="5"/>
  <c r="X82" i="5" s="1"/>
  <c r="V83" i="5"/>
  <c r="E83" i="5"/>
  <c r="X83" i="5" s="1"/>
  <c r="V84" i="5"/>
  <c r="E84" i="5"/>
  <c r="X84" i="5" s="1"/>
  <c r="V85" i="5"/>
  <c r="E85" i="5"/>
  <c r="X85" i="5" s="1"/>
  <c r="V86" i="5"/>
  <c r="E86" i="5"/>
  <c r="X86" i="5" s="1"/>
  <c r="V87" i="5"/>
  <c r="E87" i="5"/>
  <c r="X87" i="5" s="1"/>
  <c r="V88" i="5"/>
  <c r="E88" i="5"/>
  <c r="X88" i="5" s="1"/>
  <c r="V89" i="5"/>
  <c r="E89" i="5"/>
  <c r="X89" i="5" s="1"/>
  <c r="V90" i="5"/>
  <c r="E90" i="5"/>
  <c r="X90" i="5" s="1"/>
  <c r="V91" i="5"/>
  <c r="E91" i="5"/>
  <c r="X91" i="5" s="1"/>
  <c r="V92" i="5"/>
  <c r="E92" i="5"/>
  <c r="X92" i="5" s="1"/>
  <c r="V93" i="5"/>
  <c r="E93" i="5"/>
  <c r="X93" i="5" s="1"/>
  <c r="V94" i="5"/>
  <c r="E94" i="5"/>
  <c r="X94" i="5" s="1"/>
  <c r="V95" i="5"/>
  <c r="E95" i="5"/>
  <c r="X95" i="5" s="1"/>
  <c r="V96" i="5"/>
  <c r="E96" i="5"/>
  <c r="X96" i="5" s="1"/>
  <c r="V97" i="5"/>
  <c r="E97" i="5"/>
  <c r="X97" i="5" s="1"/>
  <c r="V98" i="5"/>
  <c r="E98" i="5"/>
  <c r="X98" i="5" s="1"/>
  <c r="V99" i="5"/>
  <c r="E99" i="5"/>
  <c r="X99" i="5" s="1"/>
  <c r="V100" i="5"/>
  <c r="E100" i="5"/>
  <c r="X100" i="5" s="1"/>
  <c r="V101" i="5"/>
  <c r="E101" i="5"/>
  <c r="X101" i="5" s="1"/>
  <c r="V102" i="5"/>
  <c r="E102" i="5"/>
  <c r="X102" i="5" s="1"/>
  <c r="V103" i="5"/>
  <c r="E103" i="5"/>
  <c r="X103" i="5" s="1"/>
  <c r="V104" i="5"/>
  <c r="E104" i="5"/>
  <c r="X104" i="5" s="1"/>
  <c r="V105" i="5"/>
  <c r="E105" i="5"/>
  <c r="X105" i="5" s="1"/>
  <c r="V106" i="5"/>
  <c r="E106" i="5"/>
  <c r="X106" i="5" s="1"/>
  <c r="V107" i="5"/>
  <c r="E107" i="5"/>
  <c r="X107" i="5" s="1"/>
  <c r="V108" i="5"/>
  <c r="E108" i="5"/>
  <c r="X108" i="5" s="1"/>
  <c r="V109" i="5"/>
  <c r="E109" i="5"/>
  <c r="X109" i="5" s="1"/>
  <c r="V110" i="5"/>
  <c r="E110" i="5"/>
  <c r="X110" i="5" s="1"/>
  <c r="V111" i="5"/>
  <c r="E111" i="5"/>
  <c r="X111" i="5" s="1"/>
  <c r="V112" i="5"/>
  <c r="E112" i="5"/>
  <c r="X112" i="5" s="1"/>
  <c r="V113" i="5"/>
  <c r="E113" i="5"/>
  <c r="X113" i="5" s="1"/>
  <c r="V114" i="5"/>
  <c r="E114" i="5"/>
  <c r="X114" i="5" s="1"/>
  <c r="V115" i="5"/>
  <c r="E115" i="5"/>
  <c r="V116" i="5"/>
  <c r="E116" i="5"/>
  <c r="X116" i="5" s="1"/>
  <c r="V117" i="5"/>
  <c r="E117" i="5"/>
  <c r="X117" i="5" s="1"/>
  <c r="V118" i="5"/>
  <c r="E118" i="5"/>
  <c r="X118" i="5" s="1"/>
  <c r="V119" i="5"/>
  <c r="E119" i="5"/>
  <c r="X119" i="5" s="1"/>
  <c r="V120" i="5"/>
  <c r="E120" i="5"/>
  <c r="X120" i="5" s="1"/>
  <c r="V121" i="5"/>
  <c r="E121" i="5"/>
  <c r="X121" i="5" s="1"/>
  <c r="V122" i="5"/>
  <c r="E122" i="5"/>
  <c r="X122" i="5" s="1"/>
  <c r="V123" i="5"/>
  <c r="E123" i="5"/>
  <c r="X123" i="5" s="1"/>
  <c r="V124" i="5"/>
  <c r="E124" i="5"/>
  <c r="X124" i="5" s="1"/>
  <c r="V125" i="5"/>
  <c r="E125" i="5"/>
  <c r="X125" i="5" s="1"/>
  <c r="V126" i="5"/>
  <c r="E126" i="5"/>
  <c r="X126" i="5" s="1"/>
  <c r="V127" i="5"/>
  <c r="E127" i="5"/>
  <c r="X127" i="5" s="1"/>
  <c r="V128" i="5"/>
  <c r="E128" i="5"/>
  <c r="X128" i="5" s="1"/>
  <c r="V129" i="5"/>
  <c r="E129" i="5"/>
  <c r="X129" i="5" s="1"/>
  <c r="V130" i="5"/>
  <c r="E130" i="5"/>
  <c r="X130" i="5" s="1"/>
  <c r="V131" i="5"/>
  <c r="E131" i="5"/>
  <c r="X131" i="5" s="1"/>
  <c r="V132" i="5"/>
  <c r="E132" i="5"/>
  <c r="X132" i="5" s="1"/>
  <c r="V133" i="5"/>
  <c r="E133" i="5"/>
  <c r="X133" i="5" s="1"/>
  <c r="V134" i="5"/>
  <c r="E134" i="5"/>
  <c r="X134" i="5" s="1"/>
  <c r="V135" i="5"/>
  <c r="E135" i="5"/>
  <c r="X135" i="5" s="1"/>
  <c r="V136" i="5"/>
  <c r="E136" i="5"/>
  <c r="X136" i="5" s="1"/>
  <c r="V137" i="5"/>
  <c r="E137" i="5"/>
  <c r="X137" i="5" s="1"/>
  <c r="V138" i="5"/>
  <c r="E138" i="5"/>
  <c r="X138" i="5" s="1"/>
  <c r="V139" i="5"/>
  <c r="E139" i="5"/>
  <c r="X139" i="5" s="1"/>
  <c r="V140" i="5"/>
  <c r="E140" i="5"/>
  <c r="X140" i="5" s="1"/>
  <c r="V141" i="5"/>
  <c r="E141" i="5"/>
  <c r="X141" i="5" s="1"/>
  <c r="V142" i="5"/>
  <c r="E142" i="5"/>
  <c r="X142" i="5" s="1"/>
  <c r="V143" i="5"/>
  <c r="E143" i="5"/>
  <c r="X143" i="5" s="1"/>
  <c r="V144" i="5"/>
  <c r="E144" i="5"/>
  <c r="X144" i="5" s="1"/>
  <c r="V145" i="5"/>
  <c r="E145" i="5"/>
  <c r="X145" i="5" s="1"/>
  <c r="V146" i="5"/>
  <c r="E146" i="5"/>
  <c r="X146" i="5" s="1"/>
  <c r="V147" i="5"/>
  <c r="E147" i="5"/>
  <c r="X147" i="5" s="1"/>
  <c r="V148" i="5"/>
  <c r="E148" i="5"/>
  <c r="X148" i="5" s="1"/>
  <c r="V149" i="5"/>
  <c r="E149" i="5"/>
  <c r="X149" i="5" s="1"/>
  <c r="V150" i="5"/>
  <c r="E150" i="5"/>
  <c r="X150" i="5" s="1"/>
  <c r="V151" i="5"/>
  <c r="E151" i="5"/>
  <c r="X151" i="5" s="1"/>
  <c r="V152" i="5"/>
  <c r="E152" i="5"/>
  <c r="X152" i="5" s="1"/>
  <c r="V153" i="5"/>
  <c r="E153" i="5"/>
  <c r="X153" i="5" s="1"/>
  <c r="V154" i="5"/>
  <c r="E154" i="5"/>
  <c r="X154" i="5" s="1"/>
  <c r="V155" i="5"/>
  <c r="E155" i="5"/>
  <c r="X155" i="5" s="1"/>
  <c r="V156" i="5"/>
  <c r="E156" i="5"/>
  <c r="X156" i="5" s="1"/>
  <c r="V157" i="5"/>
  <c r="E157" i="5"/>
  <c r="X157" i="5" s="1"/>
  <c r="V158" i="5"/>
  <c r="E158" i="5"/>
  <c r="X158" i="5" s="1"/>
  <c r="V159" i="5"/>
  <c r="E159" i="5"/>
  <c r="X159" i="5" s="1"/>
  <c r="V160" i="5"/>
  <c r="E160" i="5"/>
  <c r="X160" i="5" s="1"/>
  <c r="V161" i="5"/>
  <c r="E161" i="5"/>
  <c r="X161" i="5" s="1"/>
  <c r="V162" i="5"/>
  <c r="E162" i="5"/>
  <c r="X162" i="5" s="1"/>
  <c r="V163" i="5"/>
  <c r="E163" i="5"/>
  <c r="X163" i="5" s="1"/>
  <c r="V164" i="5"/>
  <c r="E164" i="5"/>
  <c r="X164" i="5" s="1"/>
  <c r="V165" i="5"/>
  <c r="E165" i="5"/>
  <c r="X165" i="5" s="1"/>
  <c r="V166" i="5"/>
  <c r="E166" i="5"/>
  <c r="X166" i="5" s="1"/>
  <c r="V167" i="5"/>
  <c r="E167" i="5"/>
  <c r="X167" i="5" s="1"/>
  <c r="V168" i="5"/>
  <c r="E168" i="5"/>
  <c r="X168" i="5" s="1"/>
  <c r="V169" i="5"/>
  <c r="E169" i="5"/>
  <c r="X169" i="5" s="1"/>
  <c r="V170" i="5"/>
  <c r="E170" i="5"/>
  <c r="X170" i="5" s="1"/>
  <c r="V171" i="5"/>
  <c r="E171" i="5"/>
  <c r="X171" i="5" s="1"/>
  <c r="V172" i="5"/>
  <c r="E172" i="5"/>
  <c r="X172" i="5" s="1"/>
  <c r="V173" i="5"/>
  <c r="E173" i="5"/>
  <c r="X173" i="5" s="1"/>
  <c r="V174" i="5"/>
  <c r="E174" i="5"/>
  <c r="X174" i="5" s="1"/>
  <c r="V175" i="5"/>
  <c r="E175" i="5"/>
  <c r="V176" i="5"/>
  <c r="E176" i="5"/>
  <c r="X176" i="5" s="1"/>
  <c r="V177" i="5"/>
  <c r="E177" i="5"/>
  <c r="X177" i="5" s="1"/>
  <c r="V178" i="5"/>
  <c r="E178" i="5"/>
  <c r="X178" i="5" s="1"/>
  <c r="V179" i="5"/>
  <c r="E179" i="5"/>
  <c r="X179" i="5" s="1"/>
  <c r="V180" i="5"/>
  <c r="E180" i="5"/>
  <c r="X180" i="5" s="1"/>
  <c r="V181" i="5"/>
  <c r="E181" i="5"/>
  <c r="X181" i="5" s="1"/>
  <c r="V182" i="5"/>
  <c r="E182" i="5"/>
  <c r="X182" i="5" s="1"/>
  <c r="V183" i="5"/>
  <c r="E183" i="5"/>
  <c r="X183" i="5" s="1"/>
  <c r="V184" i="5"/>
  <c r="E184" i="5"/>
  <c r="X184" i="5" s="1"/>
  <c r="V185" i="5"/>
  <c r="E185" i="5"/>
  <c r="X185" i="5" s="1"/>
  <c r="V186" i="5"/>
  <c r="E186" i="5"/>
  <c r="X186" i="5" s="1"/>
  <c r="V187" i="5"/>
  <c r="E187" i="5"/>
  <c r="X187" i="5" s="1"/>
  <c r="V188" i="5"/>
  <c r="E188" i="5"/>
  <c r="X188" i="5" s="1"/>
  <c r="V189" i="5"/>
  <c r="E189" i="5"/>
  <c r="X189" i="5" s="1"/>
  <c r="V190" i="5"/>
  <c r="E190" i="5"/>
  <c r="X190" i="5" s="1"/>
  <c r="V191" i="5"/>
  <c r="E191" i="5"/>
  <c r="X191" i="5" s="1"/>
  <c r="V192" i="5"/>
  <c r="E192" i="5"/>
  <c r="X192" i="5" s="1"/>
  <c r="V193" i="5"/>
  <c r="E193" i="5"/>
  <c r="X193" i="5" s="1"/>
  <c r="V194" i="5"/>
  <c r="E194" i="5"/>
  <c r="X194" i="5" s="1"/>
  <c r="V195" i="5"/>
  <c r="E195" i="5"/>
  <c r="X195" i="5" s="1"/>
  <c r="V196" i="5"/>
  <c r="E196" i="5"/>
  <c r="X196" i="5" s="1"/>
  <c r="V197" i="5"/>
  <c r="E197" i="5"/>
  <c r="X197" i="5" s="1"/>
  <c r="V198" i="5"/>
  <c r="E198" i="5"/>
  <c r="X198" i="5" s="1"/>
  <c r="V199" i="5"/>
  <c r="E199" i="5"/>
  <c r="X199" i="5" s="1"/>
  <c r="V200" i="5"/>
  <c r="E200" i="5"/>
  <c r="X200" i="5" s="1"/>
  <c r="V201" i="5"/>
  <c r="E201" i="5"/>
  <c r="X201" i="5" s="1"/>
  <c r="V202" i="5"/>
  <c r="E202" i="5"/>
  <c r="X202" i="5" s="1"/>
  <c r="V203" i="5"/>
  <c r="E203" i="5"/>
  <c r="X203" i="5" s="1"/>
  <c r="V204" i="5"/>
  <c r="E204" i="5"/>
  <c r="X204" i="5" s="1"/>
  <c r="V205" i="5"/>
  <c r="E205" i="5"/>
  <c r="X205" i="5" s="1"/>
  <c r="V206" i="5"/>
  <c r="E206" i="5"/>
  <c r="X206" i="5" s="1"/>
  <c r="V207" i="5"/>
  <c r="E207" i="5"/>
  <c r="X207" i="5" s="1"/>
  <c r="V208" i="5"/>
  <c r="E208" i="5"/>
  <c r="X208" i="5" s="1"/>
  <c r="V209" i="5"/>
  <c r="E209" i="5"/>
  <c r="X209" i="5" s="1"/>
  <c r="V210" i="5"/>
  <c r="E210" i="5"/>
  <c r="X210" i="5" s="1"/>
  <c r="V211" i="5"/>
  <c r="E211" i="5"/>
  <c r="X211" i="5" s="1"/>
  <c r="V212" i="5"/>
  <c r="E212" i="5"/>
  <c r="X212" i="5" s="1"/>
  <c r="V213" i="5"/>
  <c r="E213" i="5"/>
  <c r="X213" i="5" s="1"/>
  <c r="V214" i="5"/>
  <c r="E214" i="5"/>
  <c r="X214" i="5" s="1"/>
  <c r="V215" i="5"/>
  <c r="E215" i="5"/>
  <c r="X215" i="5" s="1"/>
  <c r="V216" i="5"/>
  <c r="E216" i="5"/>
  <c r="X216" i="5" s="1"/>
  <c r="V217" i="5"/>
  <c r="E217" i="5"/>
  <c r="X217" i="5" s="1"/>
  <c r="V218" i="5"/>
  <c r="E218" i="5"/>
  <c r="X218" i="5" s="1"/>
  <c r="V219" i="5"/>
  <c r="E219" i="5"/>
  <c r="X219" i="5" s="1"/>
  <c r="V220" i="5"/>
  <c r="E220" i="5"/>
  <c r="X220" i="5" s="1"/>
  <c r="V221" i="5"/>
  <c r="E221" i="5"/>
  <c r="X221" i="5" s="1"/>
  <c r="V222" i="5"/>
  <c r="E222" i="5"/>
  <c r="X222" i="5" s="1"/>
  <c r="V223" i="5"/>
  <c r="E223" i="5"/>
  <c r="X223" i="5" s="1"/>
  <c r="V224" i="5"/>
  <c r="E224" i="5"/>
  <c r="X224" i="5" s="1"/>
  <c r="V225" i="5"/>
  <c r="E225" i="5"/>
  <c r="X225" i="5" s="1"/>
  <c r="V226" i="5"/>
  <c r="E226" i="5"/>
  <c r="X226" i="5" s="1"/>
  <c r="V227" i="5"/>
  <c r="E227" i="5"/>
  <c r="X227" i="5" s="1"/>
  <c r="V228" i="5"/>
  <c r="E228" i="5"/>
  <c r="X228" i="5" s="1"/>
  <c r="V229" i="5"/>
  <c r="E229" i="5"/>
  <c r="X229" i="5" s="1"/>
  <c r="V230" i="5"/>
  <c r="E230" i="5"/>
  <c r="X230" i="5" s="1"/>
  <c r="V231" i="5"/>
  <c r="E231" i="5"/>
  <c r="X231" i="5" s="1"/>
  <c r="V232" i="5"/>
  <c r="E232" i="5"/>
  <c r="X232" i="5" s="1"/>
  <c r="V233" i="5"/>
  <c r="E233" i="5"/>
  <c r="X233" i="5" s="1"/>
  <c r="V234" i="5"/>
  <c r="E234" i="5"/>
  <c r="X234" i="5" s="1"/>
  <c r="V235" i="5"/>
  <c r="E235" i="5"/>
  <c r="X235" i="5" s="1"/>
  <c r="V236" i="5"/>
  <c r="E236" i="5"/>
  <c r="X236" i="5" s="1"/>
  <c r="V237" i="5"/>
  <c r="E237" i="5"/>
  <c r="X237" i="5" s="1"/>
  <c r="V238" i="5"/>
  <c r="E238" i="5"/>
  <c r="X238" i="5" s="1"/>
  <c r="V239" i="5"/>
  <c r="E239" i="5"/>
  <c r="X239" i="5" s="1"/>
  <c r="V240" i="5"/>
  <c r="E240" i="5"/>
  <c r="X240" i="5" s="1"/>
  <c r="V241" i="5"/>
  <c r="E241" i="5"/>
  <c r="X241" i="5" s="1"/>
  <c r="V242" i="5"/>
  <c r="E242" i="5"/>
  <c r="X242" i="5" s="1"/>
  <c r="V243" i="5"/>
  <c r="E243" i="5"/>
  <c r="X243" i="5" s="1"/>
  <c r="V244" i="5"/>
  <c r="E244" i="5"/>
  <c r="X244" i="5" s="1"/>
  <c r="V245" i="5"/>
  <c r="E245" i="5"/>
  <c r="X245" i="5" s="1"/>
  <c r="V246" i="5"/>
  <c r="E246" i="5"/>
  <c r="X246" i="5" s="1"/>
  <c r="V247" i="5"/>
  <c r="E247" i="5"/>
  <c r="V248" i="5"/>
  <c r="E248" i="5"/>
  <c r="X248" i="5" s="1"/>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V314" i="5"/>
  <c r="E314" i="5"/>
  <c r="X314" i="5" s="1"/>
  <c r="V315" i="5"/>
  <c r="E315" i="5"/>
  <c r="X315" i="5" s="1"/>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X358" i="5" s="1"/>
  <c r="V359" i="5"/>
  <c r="E359" i="5"/>
  <c r="X359" i="5" s="1"/>
  <c r="V360" i="5"/>
  <c r="E360" i="5"/>
  <c r="X360" i="5" s="1"/>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V416" i="5"/>
  <c r="E416" i="5"/>
  <c r="X416" i="5" s="1"/>
  <c r="V417" i="5"/>
  <c r="E417" i="5"/>
  <c r="X417" i="5" s="1"/>
  <c r="V418" i="5"/>
  <c r="E418" i="5"/>
  <c r="X418" i="5" s="1"/>
  <c r="V419" i="5"/>
  <c r="E419" i="5"/>
  <c r="X419" i="5" s="1"/>
  <c r="V420" i="5"/>
  <c r="E420" i="5"/>
  <c r="X420" i="5" s="1"/>
  <c r="V421" i="5"/>
  <c r="E421" i="5"/>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V554" i="5"/>
  <c r="E554" i="5"/>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V620" i="5"/>
  <c r="E620" i="5"/>
  <c r="X620" i="5" s="1"/>
  <c r="V621" i="5"/>
  <c r="E621" i="5"/>
  <c r="X621" i="5" s="1"/>
  <c r="V622" i="5"/>
  <c r="E622" i="5"/>
  <c r="X622" i="5" s="1"/>
  <c r="V623" i="5"/>
  <c r="E623" i="5"/>
  <c r="X623" i="5" s="1"/>
  <c r="V624" i="5"/>
  <c r="E624" i="5"/>
  <c r="X624" i="5" s="1"/>
  <c r="V625" i="5"/>
  <c r="E625" i="5"/>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V650" i="5"/>
  <c r="E650" i="5"/>
  <c r="X650" i="5" s="1"/>
  <c r="V651" i="5"/>
  <c r="E651" i="5"/>
  <c r="X651" i="5" s="1"/>
  <c r="V652" i="5"/>
  <c r="E652" i="5"/>
  <c r="X652" i="5" s="1"/>
  <c r="V653" i="5"/>
  <c r="E653" i="5"/>
  <c r="X653" i="5" s="1"/>
  <c r="V654" i="5"/>
  <c r="E654" i="5"/>
  <c r="X654" i="5" s="1"/>
  <c r="V655" i="5"/>
  <c r="E655" i="5"/>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V1130" i="5"/>
  <c r="E1130" i="5"/>
  <c r="X1130" i="5" s="1"/>
  <c r="V1131" i="5"/>
  <c r="E1131" i="5"/>
  <c r="X1131" i="5" s="1"/>
  <c r="V1132" i="5"/>
  <c r="E1132" i="5"/>
  <c r="X1132" i="5" s="1"/>
  <c r="V1133" i="5"/>
  <c r="E1133" i="5"/>
  <c r="X1133" i="5" s="1"/>
  <c r="V1134" i="5"/>
  <c r="E1134" i="5"/>
  <c r="X1134" i="5" s="1"/>
  <c r="V1135" i="5"/>
  <c r="E1135" i="5"/>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V1292" i="5"/>
  <c r="E1292" i="5"/>
  <c r="X1292" i="5" s="1"/>
  <c r="V1293" i="5"/>
  <c r="E1293" i="5"/>
  <c r="X1293" i="5" s="1"/>
  <c r="V1294" i="5"/>
  <c r="E1294" i="5"/>
  <c r="X1294" i="5" s="1"/>
  <c r="V1295" i="5"/>
  <c r="E1295" i="5"/>
  <c r="X1295" i="5" s="1"/>
  <c r="V1296" i="5"/>
  <c r="E1296" i="5"/>
  <c r="X1296" i="5" s="1"/>
  <c r="V1297" i="5"/>
  <c r="E1297" i="5"/>
  <c r="V1298" i="5"/>
  <c r="E1298" i="5"/>
  <c r="X1298" i="5" s="1"/>
  <c r="V1299" i="5"/>
  <c r="E1299" i="5"/>
  <c r="X1299" i="5" s="1"/>
  <c r="V1300" i="5"/>
  <c r="E1300" i="5"/>
  <c r="X1300" i="5" s="1"/>
  <c r="V1301" i="5"/>
  <c r="E1301" i="5"/>
  <c r="X1301" i="5" s="1"/>
  <c r="V1302" i="5"/>
  <c r="E1302" i="5"/>
  <c r="X1302" i="5" s="1"/>
  <c r="V1303" i="5"/>
  <c r="E1303" i="5"/>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V1322" i="5"/>
  <c r="E1322" i="5"/>
  <c r="X1322" i="5" s="1"/>
  <c r="V1323" i="5"/>
  <c r="E1323" i="5"/>
  <c r="X1323" i="5" s="1"/>
  <c r="V1324" i="5"/>
  <c r="E1324" i="5"/>
  <c r="X1324" i="5" s="1"/>
  <c r="V1325" i="5"/>
  <c r="E1325" i="5"/>
  <c r="X1325" i="5" s="1"/>
  <c r="V1326" i="5"/>
  <c r="E1326" i="5"/>
  <c r="X1326" i="5" s="1"/>
  <c r="V1327" i="5"/>
  <c r="E1327" i="5"/>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V1472" i="5"/>
  <c r="E1472" i="5"/>
  <c r="X1472" i="5" s="1"/>
  <c r="V1473" i="5"/>
  <c r="E1473" i="5"/>
  <c r="X1473" i="5" s="1"/>
  <c r="V1474" i="5"/>
  <c r="E1474" i="5"/>
  <c r="X1474" i="5" s="1"/>
  <c r="V1475" i="5"/>
  <c r="E1475" i="5"/>
  <c r="X1475" i="5" s="1"/>
  <c r="V1476" i="5"/>
  <c r="E1476" i="5"/>
  <c r="X1476" i="5" s="1"/>
  <c r="V1477" i="5"/>
  <c r="E1477" i="5"/>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V1784" i="5"/>
  <c r="E1784" i="5"/>
  <c r="X1784" i="5" s="1"/>
  <c r="V1785" i="5"/>
  <c r="E1785" i="5"/>
  <c r="X1785" i="5" s="1"/>
  <c r="V1786" i="5"/>
  <c r="E1786" i="5"/>
  <c r="X1786" i="5" s="1"/>
  <c r="V1787" i="5"/>
  <c r="E1787" i="5"/>
  <c r="X1787" i="5" s="1"/>
  <c r="V1788" i="5"/>
  <c r="E1788" i="5"/>
  <c r="X1788" i="5" s="1"/>
  <c r="V1789" i="5"/>
  <c r="E1789" i="5"/>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V2480" i="5"/>
  <c r="E2480" i="5"/>
  <c r="X2480" i="5" s="1"/>
  <c r="V2481" i="5"/>
  <c r="E2481" i="5"/>
  <c r="X2481" i="5" s="1"/>
  <c r="V2482" i="5"/>
  <c r="E2482" i="5"/>
  <c r="X2482" i="5" s="1"/>
  <c r="V2483" i="5"/>
  <c r="E2483" i="5"/>
  <c r="X2483" i="5" s="1"/>
  <c r="V2484" i="5"/>
  <c r="E2484" i="5"/>
  <c r="X2484" i="5" s="1"/>
  <c r="V2485" i="5"/>
  <c r="E2485" i="5"/>
  <c r="V2486" i="5"/>
  <c r="E2486" i="5"/>
  <c r="X2486" i="5" s="1"/>
  <c r="V2487" i="5"/>
  <c r="E2487" i="5"/>
  <c r="X2487" i="5" s="1"/>
  <c r="V2488" i="5"/>
  <c r="E2488" i="5"/>
  <c r="X2488" i="5" s="1"/>
  <c r="V2489" i="5"/>
  <c r="E2489" i="5"/>
  <c r="X2489" i="5" s="1"/>
  <c r="V2490" i="5"/>
  <c r="E2490" i="5"/>
  <c r="X2490" i="5" s="1"/>
  <c r="V2491" i="5"/>
  <c r="E2491" i="5"/>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s="1"/>
  <c r="B55" i="6"/>
  <c r="G55" i="6" s="1"/>
  <c r="B54" i="6"/>
  <c r="G54" i="6"/>
  <c r="B17" i="6"/>
  <c r="B27" i="6" s="1"/>
  <c r="G27" i="6" s="1"/>
  <c r="B16" i="6"/>
  <c r="F21" i="6" s="1"/>
  <c r="B15" i="6"/>
  <c r="G15" i="6" s="1"/>
  <c r="H15" i="6" s="1"/>
  <c r="B14" i="6"/>
  <c r="G14" i="6" s="1"/>
  <c r="H14" i="6" s="1"/>
  <c r="H13" i="6"/>
  <c r="B12" i="6"/>
  <c r="G12" i="6"/>
  <c r="H12" i="6"/>
  <c r="D12" i="6" s="1"/>
  <c r="B11" i="6"/>
  <c r="G11" i="6"/>
  <c r="H11" i="6"/>
  <c r="D11" i="6"/>
  <c r="G10" i="6"/>
  <c r="H10" i="6" s="1"/>
  <c r="D10" i="6" s="1"/>
  <c r="B8" i="6"/>
  <c r="G8" i="6" s="1"/>
  <c r="H8" i="6" s="1"/>
  <c r="D8" i="6" s="1"/>
  <c r="B7" i="6"/>
  <c r="G7" i="6" s="1"/>
  <c r="H7" i="6" s="1"/>
  <c r="D7" i="6" s="1"/>
  <c r="B6" i="6"/>
  <c r="G6" i="6"/>
  <c r="B5" i="6"/>
  <c r="G5" i="6" s="1"/>
  <c r="H5" i="6" s="1"/>
  <c r="D5" i="6" s="1"/>
  <c r="B4" i="6"/>
  <c r="G4" i="6"/>
  <c r="H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H5" i="5"/>
  <c r="B90" i="4"/>
  <c r="H67" i="4"/>
  <c r="P47" i="4"/>
  <c r="B47" i="4" s="1"/>
  <c r="A32" i="6" s="1"/>
  <c r="P46" i="4"/>
  <c r="P45" i="4"/>
  <c r="B45" i="4" s="1"/>
  <c r="A30" i="6" s="1"/>
  <c r="P44" i="4"/>
  <c r="P43" i="4"/>
  <c r="Q43" i="4" s="1"/>
  <c r="P41" i="4"/>
  <c r="P40" i="4"/>
  <c r="P39" i="4"/>
  <c r="B39" i="4" s="1"/>
  <c r="A25" i="6" s="1"/>
  <c r="P38" i="4"/>
  <c r="B38" i="4" s="1"/>
  <c r="B50" i="4" s="1"/>
  <c r="A34" i="6" s="1"/>
  <c r="P37" i="4"/>
  <c r="Q37" i="4" s="1"/>
  <c r="P35" i="4"/>
  <c r="P34" i="4"/>
  <c r="P33" i="4"/>
  <c r="P32" i="4"/>
  <c r="P31" i="4"/>
  <c r="Q31" i="4" s="1"/>
  <c r="P29" i="4"/>
  <c r="P28" i="4"/>
  <c r="P27" i="4"/>
  <c r="P26" i="4"/>
  <c r="B26" i="4" s="1"/>
  <c r="A14" i="6" s="1"/>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19" i="5"/>
  <c r="R19" i="5"/>
  <c r="J19"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X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X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X421"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F5"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R31" i="5"/>
  <c r="H32"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X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X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X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X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X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X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X1273" i="5"/>
  <c r="R1273" i="5"/>
  <c r="R1277" i="5"/>
  <c r="R1281" i="5"/>
  <c r="R1289" i="5"/>
  <c r="R1293" i="5"/>
  <c r="R1301" i="5"/>
  <c r="R1305" i="5"/>
  <c r="R1309" i="5"/>
  <c r="X1321"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X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X1789"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B22" i="6"/>
  <c r="G22" i="6" s="1"/>
  <c r="F2442" i="5"/>
  <c r="J2442" i="5"/>
  <c r="I2442" i="5"/>
  <c r="H2442" i="5"/>
  <c r="AB2460" i="5"/>
  <c r="F2497" i="5"/>
  <c r="R2497" i="5"/>
  <c r="J2497" i="5"/>
  <c r="I2497" i="5"/>
  <c r="H2497" i="5"/>
  <c r="S2501" i="5"/>
  <c r="F64" i="6"/>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s="1"/>
  <c r="AB2443" i="5"/>
  <c r="S2443" i="5"/>
  <c r="S2450" i="5"/>
  <c r="S2452" i="5"/>
  <c r="J2461" i="5"/>
  <c r="J2469" i="5"/>
  <c r="S2495" i="5"/>
  <c r="S2499" i="5"/>
  <c r="S2503" i="5"/>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D4" i="6"/>
  <c r="F2481" i="5"/>
  <c r="R2492" i="5"/>
  <c r="J2492" i="5"/>
  <c r="S2504" i="5"/>
  <c r="S2477" i="5"/>
  <c r="AB2482" i="5"/>
  <c r="B21" i="6"/>
  <c r="B31" i="6" s="1"/>
  <c r="G31" i="6" s="1"/>
  <c r="G16" i="6"/>
  <c r="H16" i="6"/>
  <c r="D16" i="6" s="1"/>
  <c r="A38" i="2"/>
  <c r="J4" i="5"/>
  <c r="B41" i="4"/>
  <c r="A27" i="6" s="1"/>
  <c r="A55" i="2"/>
  <c r="A73" i="2"/>
  <c r="B9" i="3"/>
  <c r="A3" i="2"/>
  <c r="A20" i="2"/>
  <c r="B17" i="3"/>
  <c r="B29" i="4"/>
  <c r="B35" i="4" s="1"/>
  <c r="A22" i="6" s="1"/>
  <c r="B25" i="3"/>
  <c r="C20" i="3"/>
  <c r="A75" i="2"/>
  <c r="C25" i="3"/>
  <c r="N4" i="5"/>
  <c r="A43" i="2"/>
  <c r="C3" i="3"/>
  <c r="C19" i="3"/>
  <c r="P4" i="5"/>
  <c r="A45" i="2"/>
  <c r="C4" i="3"/>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7" i="4"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C4" i="6" s="1"/>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S532" i="5"/>
  <c r="S356" i="5"/>
  <c r="S343" i="5"/>
  <c r="S315" i="5"/>
  <c r="S357" i="5"/>
  <c r="S383" i="5"/>
  <c r="X313" i="5"/>
  <c r="B32" i="6"/>
  <c r="G32" i="6" s="1"/>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F888" i="5"/>
  <c r="R730"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B41" i="6"/>
  <c r="G41" i="6" s="1"/>
  <c r="J306" i="5"/>
  <c r="J2417" i="5"/>
  <c r="J2160" i="5"/>
  <c r="F1876" i="5"/>
  <c r="R1770" i="5"/>
  <c r="R1700" i="5"/>
  <c r="I1696" i="5"/>
  <c r="I1672" i="5"/>
  <c r="F1126" i="5"/>
  <c r="F875" i="5"/>
  <c r="R888" i="5"/>
  <c r="F783" i="5"/>
  <c r="R757" i="5"/>
  <c r="I588" i="5"/>
  <c r="R431" i="5"/>
  <c r="J435" i="5"/>
  <c r="F102" i="5"/>
  <c r="H2012" i="5"/>
  <c r="F640" i="5"/>
  <c r="J207" i="5"/>
  <c r="F2197" i="5"/>
  <c r="R2417" i="5"/>
  <c r="H2409" i="5"/>
  <c r="X2317"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X147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X1051"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26" i="6"/>
  <c r="F51" i="6" s="1"/>
  <c r="B52" i="6"/>
  <c r="G52" i="6" s="1"/>
  <c r="B37" i="6"/>
  <c r="G37" i="6"/>
  <c r="B42" i="6"/>
  <c r="G42" i="6" s="1"/>
  <c r="X6" i="5"/>
  <c r="F2426" i="5"/>
  <c r="R2426" i="5"/>
  <c r="J2426" i="5"/>
  <c r="I2426" i="5"/>
  <c r="H2426" i="5"/>
  <c r="F2446" i="5"/>
  <c r="H2446" i="5"/>
  <c r="J2446" i="5"/>
  <c r="I2446" i="5"/>
  <c r="R2446" i="5"/>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X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X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X1477" i="5"/>
  <c r="I1335" i="5"/>
  <c r="H1335" i="5"/>
  <c r="R1335" i="5"/>
  <c r="J1335" i="5"/>
  <c r="F1335" i="5"/>
  <c r="I1303" i="5"/>
  <c r="H1303" i="5"/>
  <c r="R1303" i="5"/>
  <c r="J1303" i="5"/>
  <c r="F1303" i="5"/>
  <c r="X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c r="B26" i="6"/>
  <c r="G26" i="6" s="1"/>
  <c r="G21" i="6"/>
  <c r="B36" i="6"/>
  <c r="G36" i="6" s="1"/>
  <c r="H2439" i="5"/>
  <c r="F2439" i="5"/>
  <c r="R2439" i="5"/>
  <c r="J2439" i="5"/>
  <c r="I2439" i="5"/>
  <c r="F2414" i="5"/>
  <c r="R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X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X895"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X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X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X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X1711" i="5"/>
  <c r="R1675" i="5"/>
  <c r="J1675" i="5"/>
  <c r="I1675" i="5"/>
  <c r="H1675" i="5"/>
  <c r="F1675" i="5"/>
  <c r="X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41" i="6"/>
  <c r="J2479" i="5"/>
  <c r="I2479" i="5"/>
  <c r="X2479" i="5"/>
  <c r="R2479" i="5"/>
  <c r="H2479" i="5"/>
  <c r="F2479" i="5"/>
  <c r="F2410" i="5"/>
  <c r="R2410" i="5"/>
  <c r="J2410" i="5"/>
  <c r="I2410" i="5"/>
  <c r="H2410" i="5"/>
  <c r="J2491" i="5"/>
  <c r="I2491" i="5"/>
  <c r="H2491" i="5"/>
  <c r="F2491" i="5"/>
  <c r="X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X1489" i="5"/>
  <c r="I1489" i="5"/>
  <c r="R916" i="5"/>
  <c r="I916" i="5"/>
  <c r="F916" i="5"/>
  <c r="J916" i="5"/>
  <c r="H916" i="5"/>
  <c r="F956" i="5"/>
  <c r="R956" i="5"/>
  <c r="I956" i="5"/>
  <c r="J956" i="5"/>
  <c r="H956" i="5"/>
  <c r="X871" i="5"/>
  <c r="R871" i="5"/>
  <c r="I871" i="5"/>
  <c r="H871" i="5"/>
  <c r="F871" i="5"/>
  <c r="J871" i="5"/>
  <c r="R874" i="5"/>
  <c r="I874" i="5"/>
  <c r="H874" i="5"/>
  <c r="J874" i="5"/>
  <c r="F874" i="5"/>
  <c r="F853" i="5"/>
  <c r="X853" i="5"/>
  <c r="R853" i="5"/>
  <c r="I853" i="5"/>
  <c r="J853" i="5"/>
  <c r="H853" i="5"/>
  <c r="H818" i="5"/>
  <c r="R818" i="5"/>
  <c r="J818" i="5"/>
  <c r="I818" i="5"/>
  <c r="F818" i="5"/>
  <c r="I625" i="5"/>
  <c r="H625" i="5"/>
  <c r="F625" i="5"/>
  <c r="X625" i="5"/>
  <c r="R625" i="5"/>
  <c r="J625" i="5"/>
  <c r="J687" i="5"/>
  <c r="I687" i="5"/>
  <c r="R687" i="5"/>
  <c r="H687" i="5"/>
  <c r="F687" i="5"/>
  <c r="R667" i="5"/>
  <c r="J667" i="5"/>
  <c r="I667" i="5"/>
  <c r="H667" i="5"/>
  <c r="F667" i="5"/>
  <c r="R651" i="5"/>
  <c r="J651" i="5"/>
  <c r="I651" i="5"/>
  <c r="H651" i="5"/>
  <c r="F651"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X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X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X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X673" i="5"/>
  <c r="R673" i="5"/>
  <c r="J673" i="5"/>
  <c r="I641" i="5"/>
  <c r="H641" i="5"/>
  <c r="F641" i="5"/>
  <c r="R641" i="5"/>
  <c r="J641" i="5"/>
  <c r="I609" i="5"/>
  <c r="H609" i="5"/>
  <c r="F609" i="5"/>
  <c r="R609" i="5"/>
  <c r="J609" i="5"/>
  <c r="R671" i="5"/>
  <c r="J671" i="5"/>
  <c r="I671" i="5"/>
  <c r="H671" i="5"/>
  <c r="F671" i="5"/>
  <c r="R663" i="5"/>
  <c r="J663" i="5"/>
  <c r="I663" i="5"/>
  <c r="H663" i="5"/>
  <c r="F663" i="5"/>
  <c r="X655"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X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X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X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X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X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X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S597" i="5"/>
  <c r="S599" i="5"/>
  <c r="S611" i="5"/>
  <c r="S601" i="5"/>
  <c r="S600" i="5"/>
  <c r="X553" i="5"/>
  <c r="S382" i="5"/>
  <c r="X115" i="5"/>
  <c r="S533" i="5"/>
  <c r="S355" i="5"/>
  <c r="X391" i="5"/>
  <c r="S602" i="5"/>
  <c r="S603" i="5"/>
  <c r="S605" i="5"/>
  <c r="X571" i="5"/>
  <c r="X554" i="5"/>
  <c r="S607" i="5"/>
  <c r="S314" i="5"/>
  <c r="X415" i="5"/>
  <c r="AB12" i="5"/>
  <c r="AB9" i="5"/>
  <c r="AB10" i="5"/>
  <c r="AB14" i="5"/>
  <c r="AB17" i="5"/>
  <c r="AB16" i="5"/>
  <c r="AB8" i="5"/>
  <c r="AB13" i="5"/>
  <c r="AB15" i="5"/>
  <c r="AB11" i="5"/>
  <c r="AB7"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R16" i="5"/>
  <c r="I16" i="5"/>
  <c r="H16" i="5"/>
  <c r="J16" i="5"/>
  <c r="F16" i="5"/>
  <c r="I10" i="5"/>
  <c r="F10" i="5"/>
  <c r="R10" i="5"/>
  <c r="J10" i="5"/>
  <c r="H10" i="5"/>
  <c r="H13" i="5"/>
  <c r="R13" i="5"/>
  <c r="J13" i="5"/>
  <c r="I13" i="5"/>
  <c r="F13" i="5"/>
  <c r="H7" i="5"/>
  <c r="R7" i="5"/>
  <c r="F7" i="5"/>
  <c r="I7" i="5"/>
  <c r="H17" i="5"/>
  <c r="I17" i="5"/>
  <c r="J17" i="5"/>
  <c r="R17" i="5"/>
  <c r="F17" i="5"/>
  <c r="G66" i="6"/>
  <c r="G67" i="6"/>
  <c r="G65" i="6"/>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S17" i="5"/>
  <c r="S12" i="5"/>
  <c r="S16" i="5"/>
  <c r="S15" i="5"/>
  <c r="S13" i="5"/>
  <c r="S14" i="5"/>
  <c r="S10" i="5"/>
  <c r="S11" i="5"/>
  <c r="S8" i="5"/>
  <c r="S9" i="5"/>
  <c r="S7" i="5"/>
  <c r="G64" i="6" a="1"/>
  <c r="F20" i="6" l="1"/>
  <c r="D17" i="6"/>
  <c r="C17" i="6"/>
  <c r="F27" i="6"/>
  <c r="F22" i="6"/>
  <c r="H22" i="6" s="1"/>
  <c r="D22" i="6" s="1"/>
  <c r="B47" i="6"/>
  <c r="G47" i="6" s="1"/>
  <c r="B51" i="6"/>
  <c r="G51" i="6" s="1"/>
  <c r="H21" i="6"/>
  <c r="H41" i="6"/>
  <c r="D41" i="6" s="1"/>
  <c r="K67" i="6"/>
  <c r="D21" i="6"/>
  <c r="H51" i="6"/>
  <c r="D51" i="6" s="1"/>
  <c r="F36" i="6"/>
  <c r="H36" i="6" s="1"/>
  <c r="D36" i="6" s="1"/>
  <c r="F46" i="6"/>
  <c r="H46" i="6" s="1"/>
  <c r="D46" i="6" s="1"/>
  <c r="F31" i="6"/>
  <c r="H31" i="6" s="1"/>
  <c r="D31" i="6" s="1"/>
  <c r="C51" i="6"/>
  <c r="F67" i="6"/>
  <c r="H67" i="6" s="1"/>
  <c r="D67" i="6" s="1"/>
  <c r="C21" i="6"/>
  <c r="H26" i="6"/>
  <c r="D26" i="6" s="1"/>
  <c r="C16" i="6"/>
  <c r="D15" i="6"/>
  <c r="B20" i="6"/>
  <c r="B50" i="6" s="1"/>
  <c r="G50" i="6" s="1"/>
  <c r="C15" i="6"/>
  <c r="D14" i="6"/>
  <c r="B67" i="4"/>
  <c r="A48" i="6" s="1"/>
  <c r="B77" i="4"/>
  <c r="A55" i="6" s="1"/>
  <c r="B79" i="4"/>
  <c r="A57" i="6" s="1"/>
  <c r="B31" i="4"/>
  <c r="A18" i="6" s="1"/>
  <c r="B87" i="4"/>
  <c r="A62" i="6" s="1"/>
  <c r="B75" i="4"/>
  <c r="A54" i="6" s="1"/>
  <c r="B89" i="4"/>
  <c r="A63" i="6" s="1"/>
  <c r="B37" i="4"/>
  <c r="A23" i="6" s="1"/>
  <c r="B61" i="4"/>
  <c r="A43" i="6" s="1"/>
  <c r="B49" i="4"/>
  <c r="A33" i="6" s="1"/>
  <c r="B85" i="4"/>
  <c r="A60" i="6" s="1"/>
  <c r="B43" i="4"/>
  <c r="A28" i="6" s="1"/>
  <c r="B55" i="4"/>
  <c r="A38" i="6" s="1"/>
  <c r="B81" i="4"/>
  <c r="A58" i="6" s="1"/>
  <c r="B83" i="4"/>
  <c r="A59" i="6" s="1"/>
  <c r="C14" i="6"/>
  <c r="F19" i="6"/>
  <c r="B34" i="6"/>
  <c r="G34" i="6" s="1"/>
  <c r="B19" i="6"/>
  <c r="B49" i="6" s="1"/>
  <c r="G49" i="6" s="1"/>
  <c r="B44" i="6"/>
  <c r="G44" i="6" s="1"/>
  <c r="F24" i="6"/>
  <c r="C12" i="6"/>
  <c r="C11" i="6"/>
  <c r="C10" i="6"/>
  <c r="B56" i="4"/>
  <c r="A39" i="6" s="1"/>
  <c r="C9" i="6"/>
  <c r="G69" i="6" a="1"/>
  <c r="G69" i="6" s="1"/>
  <c r="H69" i="6" s="1"/>
  <c r="A17" i="6"/>
  <c r="G55" i="4"/>
  <c r="G37" i="4"/>
  <c r="G61" i="4"/>
  <c r="C8" i="6"/>
  <c r="G43" i="4"/>
  <c r="A24" i="6"/>
  <c r="B63" i="4"/>
  <c r="A45" i="6" s="1"/>
  <c r="G49" i="4"/>
  <c r="B51" i="4"/>
  <c r="A35" i="6" s="1"/>
  <c r="B57" i="4"/>
  <c r="A40" i="6" s="1"/>
  <c r="B62" i="4"/>
  <c r="A44" i="6" s="1"/>
  <c r="D74" i="4"/>
  <c r="B52" i="4"/>
  <c r="A36" i="6" s="1"/>
  <c r="C7" i="6"/>
  <c r="B68" i="4"/>
  <c r="A49" i="6" s="1"/>
  <c r="C5" i="6"/>
  <c r="B71" i="4"/>
  <c r="A52" i="6" s="1"/>
  <c r="G74" i="4"/>
  <c r="D31" i="4"/>
  <c r="G67" i="4"/>
  <c r="D49" i="4"/>
  <c r="D55" i="4"/>
  <c r="B34" i="4"/>
  <c r="A21" i="6" s="1"/>
  <c r="B65" i="4"/>
  <c r="A47" i="6" s="1"/>
  <c r="D43" i="4"/>
  <c r="D61" i="4"/>
  <c r="F6" i="6"/>
  <c r="H6" i="6" s="1"/>
  <c r="D6" i="6" s="1"/>
  <c r="B59" i="4"/>
  <c r="A42" i="6" s="1"/>
  <c r="B53" i="4"/>
  <c r="A37" i="6" s="1"/>
  <c r="D37" i="4"/>
  <c r="G64" i="6"/>
  <c r="A26" i="6"/>
  <c r="A15" i="6"/>
  <c r="B32" i="4"/>
  <c r="A19" i="6" s="1"/>
  <c r="B69" i="4"/>
  <c r="A50" i="6" s="1"/>
  <c r="B64" i="4"/>
  <c r="A46" i="6" s="1"/>
  <c r="B58" i="4"/>
  <c r="A41" i="6" s="1"/>
  <c r="F47" i="6" l="1"/>
  <c r="H47" i="6" s="1"/>
  <c r="F42" i="6"/>
  <c r="H42" i="6" s="1"/>
  <c r="F37" i="6"/>
  <c r="H37" i="6" s="1"/>
  <c r="F52" i="6"/>
  <c r="H52" i="6" s="1"/>
  <c r="H27" i="6"/>
  <c r="F68" i="6"/>
  <c r="H68" i="6" s="1"/>
  <c r="F32" i="6"/>
  <c r="H32" i="6" s="1"/>
  <c r="C22" i="6"/>
  <c r="K68" i="6"/>
  <c r="C41" i="6"/>
  <c r="C36" i="6"/>
  <c r="C26" i="6"/>
  <c r="C46" i="6"/>
  <c r="C67" i="6"/>
  <c r="C31" i="6"/>
  <c r="B40" i="6"/>
  <c r="G40" i="6" s="1"/>
  <c r="F25" i="6"/>
  <c r="G20" i="6"/>
  <c r="H20" i="6" s="1"/>
  <c r="B35" i="6"/>
  <c r="G35" i="6" s="1"/>
  <c r="B30" i="6"/>
  <c r="G30" i="6" s="1"/>
  <c r="B25" i="6"/>
  <c r="G25" i="6" s="1"/>
  <c r="B45" i="6"/>
  <c r="G45" i="6" s="1"/>
  <c r="G19" i="6"/>
  <c r="H19" i="6" s="1"/>
  <c r="B39" i="6"/>
  <c r="G39" i="6" s="1"/>
  <c r="B24" i="6"/>
  <c r="G24" i="6" s="1"/>
  <c r="H24" i="6" s="1"/>
  <c r="F39" i="6"/>
  <c r="F44" i="6"/>
  <c r="H44" i="6" s="1"/>
  <c r="F65" i="6"/>
  <c r="F34" i="6"/>
  <c r="H34" i="6" s="1"/>
  <c r="F29" i="6"/>
  <c r="F49" i="6"/>
  <c r="H49" i="6" s="1"/>
  <c r="B29" i="6"/>
  <c r="G29" i="6" s="1"/>
  <c r="C6" i="6"/>
  <c r="H64" i="6"/>
  <c r="B64" i="6"/>
  <c r="D47" i="6" l="1"/>
  <c r="C47" i="6"/>
  <c r="D32" i="6"/>
  <c r="C32" i="6"/>
  <c r="D68" i="6"/>
  <c r="C68" i="6"/>
  <c r="D27" i="6"/>
  <c r="C27" i="6"/>
  <c r="D37" i="6"/>
  <c r="C37" i="6"/>
  <c r="D42" i="6"/>
  <c r="C42" i="6"/>
  <c r="D52" i="6"/>
  <c r="C52" i="6"/>
  <c r="D20" i="6"/>
  <c r="K66" i="6"/>
  <c r="C20" i="6"/>
  <c r="F30" i="6"/>
  <c r="H30" i="6" s="1"/>
  <c r="H25" i="6"/>
  <c r="F35" i="6"/>
  <c r="H35" i="6" s="1"/>
  <c r="F40" i="6"/>
  <c r="H40" i="6" s="1"/>
  <c r="F45" i="6"/>
  <c r="H45" i="6" s="1"/>
  <c r="F66" i="6"/>
  <c r="H66" i="6" s="1"/>
  <c r="F50" i="6"/>
  <c r="H50" i="6" s="1"/>
  <c r="F54" i="6"/>
  <c r="F63" i="6" s="1"/>
  <c r="H63" i="6" s="1"/>
  <c r="D24" i="6"/>
  <c r="C24" i="6"/>
  <c r="D19" i="6"/>
  <c r="K65" i="6"/>
  <c r="C19" i="6"/>
  <c r="D49" i="6"/>
  <c r="C49" i="6"/>
  <c r="H29" i="6"/>
  <c r="D34" i="6"/>
  <c r="C34" i="6"/>
  <c r="C2" i="6"/>
  <c r="H65" i="6"/>
  <c r="B2" i="6"/>
  <c r="D44" i="6"/>
  <c r="C44" i="6"/>
  <c r="H39" i="6"/>
  <c r="D64" i="6"/>
  <c r="C64" i="6"/>
  <c r="D50" i="6" l="1"/>
  <c r="C50" i="6"/>
  <c r="D66" i="6"/>
  <c r="C66" i="6"/>
  <c r="H54" i="6"/>
  <c r="C54" i="6" s="1"/>
  <c r="D45" i="6"/>
  <c r="C45" i="6"/>
  <c r="F62" i="6"/>
  <c r="H62" i="6" s="1"/>
  <c r="D62" i="6" s="1"/>
  <c r="D40" i="6"/>
  <c r="C40" i="6"/>
  <c r="F59" i="6"/>
  <c r="H59" i="6" s="1"/>
  <c r="C59" i="6" s="1"/>
  <c r="D35" i="6"/>
  <c r="C35" i="6"/>
  <c r="F60" i="6"/>
  <c r="H60" i="6" s="1"/>
  <c r="C60" i="6" s="1"/>
  <c r="D25" i="6"/>
  <c r="C25" i="6"/>
  <c r="F58" i="6"/>
  <c r="H58" i="6" s="1"/>
  <c r="D58" i="6" s="1"/>
  <c r="D30" i="6"/>
  <c r="C30" i="6"/>
  <c r="F55" i="6"/>
  <c r="F56" i="6" s="1"/>
  <c r="H56" i="6" s="1"/>
  <c r="F57" i="6"/>
  <c r="H57" i="6" s="1"/>
  <c r="C57" i="6" s="1"/>
  <c r="D39" i="6"/>
  <c r="C39" i="6"/>
  <c r="D65" i="6"/>
  <c r="C65" i="6"/>
  <c r="D29" i="6"/>
  <c r="C29" i="6"/>
  <c r="D63" i="6"/>
  <c r="C63" i="6"/>
  <c r="D54" i="6" l="1"/>
  <c r="D57" i="6"/>
  <c r="H55" i="6"/>
  <c r="H70" i="6" s="1"/>
  <c r="D2" i="6" s="1"/>
  <c r="D60" i="6"/>
  <c r="D59" i="6"/>
  <c r="C62" i="6"/>
  <c r="C58" i="6"/>
  <c r="D56" i="6"/>
  <c r="C56" i="6"/>
  <c r="C55" i="6" l="1"/>
  <c r="D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<sst xmlns="http://schemas.openxmlformats.org/spreadsheetml/2006/main" count="22479" uniqueCount="15863">
  <si>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</si>
  <si>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</si>
  <si>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</si>
  <si>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</si>
  <si>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</si>
  <si>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</si>
  <si>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</si>
  <si>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</si>
  <si>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</si>
  <si>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</si>
  <si>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</si>
  <si>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</si>
  <si>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</si>
  <si>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</si>
  <si>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</si>
  <si>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</si>
  <si>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</si>
  <si>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</si>
  <si>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</si>
  <si>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</si>
  <si>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</si>
  <si>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</si>
  <si>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</si>
  <si>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</si>
  <si>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</si>
  <si>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</si>
  <si>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</si>
  <si>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</si>
  <si>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</si>
  <si>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</si>
  <si>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</si>
  <si>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</si>
  <si>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</si>
  <si>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</si>
  <si>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</si>
  <si>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</si>
  <si>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</si>
  <si>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</si>
  <si>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</si>
  <si>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</si>
  <si>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</si>
  <si>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</si>
  <si>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</si>
  <si>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</si>
  <si>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</si>
  <si>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</si>
  <si>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</si>
  <si>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</si>
  <si>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</si>
  <si>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</si>
  <si>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</si>
  <si>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</si>
  <si>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</si>
  <si>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</si>
  <si>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</si>
  <si>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</si>
  <si>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</si>
  <si>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</si>
  <si>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</si>
  <si>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</si>
  <si>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</si>
  <si>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</si>
  <si>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</si>
  <si>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</si>
  <si>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</si>
  <si>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</si>
  <si>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</si>
  <si>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</si>
  <si>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</si>
  <si>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</si>
  <si>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</si>
  <si>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</si>
  <si>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</si>
  <si>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</si>
  <si>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</si>
  <si>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</si>
  <si>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</si>
  <si>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</si>
  <si>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</si>
  <si>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</si>
  <si>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</si>
  <si>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</si>
  <si>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</si>
  <si>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</si>
  <si>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</si>
  <si>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</si>
  <si>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</si>
  <si>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</si>
  <si>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</si>
  <si>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</si>
  <si>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</si>
  <si>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</si>
  <si>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</si>
  <si>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</si>
  <si>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</si>
  <si>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</si>
  <si>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</si>
  <si>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</si>
  <si>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</si>
  <si>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</si>
  <si>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</si>
  <si>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</si>
  <si>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</si>
  <si>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</si>
  <si>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</si>
  <si>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</si>
  <si>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</si>
  <si>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</si>
  <si>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</si>
  <si>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</si>
  <si>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</si>
  <si>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</si>
  <si>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</si>
  <si>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</si>
  <si>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</si>
  <si>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</si>
  <si>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</si>
  <si>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</si>
  <si>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</si>
  <si>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</si>
  <si>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</si>
  <si>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</si>
  <si>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</si>
  <si>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</si>
  <si>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</si>
  <si>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</si>
  <si>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</si>
  <si>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</si>
  <si>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</si>
  <si>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</si>
  <si>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</si>
  <si>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</si>
  <si>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</si>
  <si>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</si>
  <si>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</si>
  <si>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</si>
  <si>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</si>
  <si>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</si>
  <si>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</si>
  <si>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</si>
  <si>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</si>
  <si>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</si>
  <si>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</si>
  <si>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</si>
  <si>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</si>
  <si>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</si>
  <si>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</si>
  <si>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</si>
  <si>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</si>
  <si>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</si>
  <si>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</si>
  <si>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</si>
  <si>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</si>
  <si>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</si>
  <si>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</si>
  <si>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</si>
  <si>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</si>
  <si>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</si>
  <si>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</si>
  <si>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</si>
  <si>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</si>
  <si>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</si>
  <si>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</si>
  <si>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</si>
  <si>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</si>
  <si>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</si>
  <si>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</si>
  <si>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</si>
  <si>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</si>
  <si>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</si>
  <si>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</si>
  <si>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</si>
  <si>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</si>
  <si>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</si>
  <si>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</si>
  <si>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</si>
  <si>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</si>
  <si>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</si>
  <si>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</si>
  <si>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</si>
  <si>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</si>
  <si>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</si>
  <si>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</si>
  <si>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</si>
  <si>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</si>
  <si>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</si>
  <si>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</si>
  <si>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</si>
  <si>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</si>
  <si>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</si>
  <si>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</si>
  <si>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</si>
  <si>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</si>
  <si>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</si>
  <si>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</si>
  <si>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</si>
  <si>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</si>
  <si>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</si>
  <si>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</si>
  <si>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</si>
  <si>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</si>
  <si>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</si>
  <si>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</si>
  <si>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</si>
  <si>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</si>
  <si>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</si>
  <si>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</si>
  <si>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</si>
  <si>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</si>
  <si>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</si>
  <si>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</si>
  <si>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</si>
  <si>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</si>
  <si>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</si>
  <si>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</si>
  <si>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</si>
  <si>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</si>
  <si>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</si>
  <si>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</si>
  <si>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</si>
  <si>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</si>
  <si>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</si>
  <si>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</si>
  <si>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</si>
  <si>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</si>
  <si>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</si>
  <si>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</si>
  <si>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</si>
  <si>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</si>
  <si>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</si>
  <si>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</si>
  <si>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</si>
  <si>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</si>
  <si>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</si>
  <si>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</si>
  <si>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</si>
  <si>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</si>
  <si>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</si>
  <si>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</si>
  <si>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</si>
  <si>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</si>
  <si>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</si>
  <si>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</si>
  <si>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</si>
  <si>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</si>
  <si>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</si>
  <si>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</si>
  <si>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</si>
  <si>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</si>
  <si>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</si>
  <si>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</si>
  <si>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</si>
  <si>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</si>
  <si>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</si>
  <si>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</si>
  <si>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</si>
  <si>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</si>
  <si>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</si>
  <si>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</si>
  <si>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</si>
  <si>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</si>
  <si>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</si>
  <si>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</si>
  <si>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</si>
  <si>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</si>
  <si>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</si>
  <si>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</si>
  <si>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</si>
  <si>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</si>
  <si>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</si>
  <si>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</si>
  <si>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</si>
  <si>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</si>
  <si>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</si>
  <si>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</si>
  <si>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</si>
  <si>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</si>
  <si>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</si>
  <si>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</si>
  <si>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</si>
  <si>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</si>
  <si>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</si>
  <si>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</si>
  <si>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</si>
  <si>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</si>
  <si>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</si>
  <si>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</si>
  <si>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</si>
  <si>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</si>
  <si>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</si>
  <si>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</si>
  <si>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</si>
  <si>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</si>
  <si>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</si>
  <si>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</si>
  <si>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</si>
  <si>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</si>
  <si>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</si>
  <si>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</si>
  <si>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</si>
  <si>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</si>
  <si>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</si>
  <si>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</si>
  <si>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</si>
  <si>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</si>
  <si>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</si>
  <si>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</si>
  <si>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</si>
  <si>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</si>
  <si>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</si>
  <si>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</si>
  <si>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</si>
  <si>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</si>
  <si>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</si>
  <si>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</si>
  <si>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</si>
  <si>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</si>
  <si>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</si>
  <si>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</si>
  <si>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</si>
  <si>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</si>
  <si>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</si>
  <si>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</si>
  <si>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</si>
  <si>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</si>
  <si>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</si>
  <si>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</si>
  <si>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</si>
  <si>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</si>
  <si>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</si>
  <si>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</si>
  <si>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</si>
  <si>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</si>
  <si>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</si>
  <si>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</si>
  <si>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</si>
  <si>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</si>
  <si>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</si>
  <si>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</si>
  <si>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</si>
  <si>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</si>
  <si>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</si>
  <si>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</si>
  <si>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</si>
  <si>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</si>
  <si>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</si>
  <si>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</si>
  <si>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</si>
  <si>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</si>
  <si>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</si>
  <si>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</si>
  <si>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</si>
  <si>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</si>
  <si>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</si>
  <si>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</si>
  <si>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</si>
  <si>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</si>
  <si>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</si>
  <si>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</si>
  <si>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</si>
  <si>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</si>
  <si>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</si>
  <si>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</si>
  <si>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</si>
  <si>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</si>
  <si>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</si>
  <si>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</si>
  <si>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</si>
  <si>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</si>
  <si>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</si>
  <si>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</si>
  <si>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</si>
  <si>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</si>
  <si>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</si>
  <si>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</si>
  <si>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</si>
  <si>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</si>
  <si>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</si>
  <si>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</si>
  <si>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</si>
  <si>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</si>
  <si>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</si>
  <si>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</si>
  <si>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</si>
  <si>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</si>
  <si>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</si>
  <si>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</si>
  <si>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</si>
  <si>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</si>
  <si>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</si>
  <si>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</si>
  <si>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</si>
  <si>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</si>
  <si>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</si>
  <si>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</si>
  <si>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</si>
  <si>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</si>
  <si>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</si>
  <si>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</si>
  <si>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</si>
  <si>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</si>
  <si>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</si>
  <si>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</si>
  <si>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</si>
  <si>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</si>
  <si>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</si>
  <si>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</si>
  <si>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</si>
  <si>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</si>
  <si>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</si>
  <si>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</si>
  <si>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</si>
  <si>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</si>
  <si>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</si>
  <si>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</si>
  <si>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</si>
  <si>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</si>
  <si>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</si>
  <si>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</si>
  <si>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</si>
  <si>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</si>
  <si>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</si>
  <si>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</si>
  <si>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</si>
  <si>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</si>
  <si>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</si>
  <si>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</si>
  <si>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</si>
  <si>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</si>
  <si>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</si>
  <si>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</si>
  <si>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</si>
  <si>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</si>
  <si>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</si>
  <si>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</si>
  <si>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</si>
  <si>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</si>
  <si>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</si>
  <si>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</si>
  <si>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</si>
  <si>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</si>
  <si>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</si>
  <si>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</si>
  <si>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</si>
  <si>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</si>
  <si>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</si>
  <si>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</si>
  <si>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</si>
  <si>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</si>
  <si>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</si>
  <si>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</si>
  <si>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</si>
  <si>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</si>
  <si>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</si>
  <si>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</si>
  <si>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</si>
  <si>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</si>
  <si>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</si>
  <si>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</si>
  <si>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</si>
  <si>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</si>
  <si>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</si>
  <si>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</si>
  <si>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</si>
  <si>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</si>
  <si>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</si>
  <si>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</si>
  <si>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</si>
  <si>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</si>
  <si>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</si>
  <si>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</si>
  <si>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</si>
  <si>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</si>
  <si>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</si>
  <si>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</si>
  <si>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</si>
  <si>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</si>
  <si>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</si>
  <si>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</si>
  <si>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</si>
  <si>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</si>
  <si>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</si>
  <si>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</si>
  <si>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</si>
  <si>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</si>
  <si>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</si>
  <si>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</si>
  <si>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</si>
  <si>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</si>
  <si>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</si>
  <si>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</si>
  <si>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</si>
  <si>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</si>
  <si>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</si>
  <si>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</si>
  <si>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</si>
  <si>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</si>
  <si>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</si>
  <si>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</si>
  <si>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</si>
  <si>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</si>
  <si>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</si>
  <si>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</si>
  <si>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</si>
  <si>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</si>
  <si>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</si>
  <si>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</si>
  <si>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</si>
  <si>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</si>
  <si>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</si>
  <si>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</si>
  <si>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</si>
  <si>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</si>
  <si>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</si>
  <si>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</si>
  <si>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</si>
  <si>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</si>
  <si>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</si>
  <si>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</si>
  <si>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</si>
  <si>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</si>
  <si>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</si>
  <si>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</si>
  <si>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</si>
  <si>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</si>
  <si>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</si>
  <si>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</si>
  <si>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</si>
  <si>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</si>
  <si>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</si>
  <si>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</si>
  <si>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</si>
  <si>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</si>
  <si>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</si>
  <si>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</si>
  <si>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</si>
  <si>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</si>
  <si>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</si>
  <si>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</si>
  <si>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</si>
  <si>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</si>
  <si>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</si>
  <si>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</si>
  <si>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</si>
  <si>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</si>
  <si>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</si>
  <si>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</si>
  <si>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</si>
  <si>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</si>
  <si>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</si>
  <si>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</si>
  <si>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</si>
  <si>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</si>
  <si>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</si>
  <si>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</si>
  <si>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</si>
  <si>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</si>
  <si>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</si>
  <si>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</si>
  <si>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</si>
  <si>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</si>
  <si>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</si>
  <si>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</si>
  <si>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</si>
  <si>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</si>
  <si>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</si>
  <si>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</si>
  <si>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</si>
  <si>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</si>
  <si>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</si>
  <si>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</si>
  <si>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</si>
  <si>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</si>
  <si>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</si>
  <si>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</si>
  <si>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</si>
  <si>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</si>
  <si>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</si>
  <si>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</si>
  <si>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</si>
  <si>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</si>
  <si>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</si>
  <si>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</si>
  <si>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</si>
  <si>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</si>
  <si>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</si>
  <si>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</si>
  <si>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</si>
  <si>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</si>
  <si>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</si>
  <si>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</si>
  <si>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</si>
  <si>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</si>
  <si>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</si>
  <si>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</si>
  <si>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</si>
  <si>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</si>
  <si>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</si>
  <si>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</si>
  <si>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</si>
  <si>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</si>
  <si>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</si>
  <si>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</si>
  <si>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</si>
  <si>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</si>
  <si>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</si>
  <si>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</si>
  <si>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</si>
  <si>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</si>
  <si>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</si>
  <si>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</si>
  <si>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</si>
  <si>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</si>
  <si>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</si>
  <si>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</si>
  <si>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</si>
  <si>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</si>
  <si>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</si>
  <si>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</si>
  <si>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</si>
  <si>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</si>
  <si>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</si>
  <si>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</si>
  <si>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</si>
  <si>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</si>
  <si>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</si>
  <si>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</si>
  <si>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</si>
  <si>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</si>
  <si>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</si>
  <si>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</si>
  <si>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</si>
  <si>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</si>
  <si>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</si>
  <si>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</si>
  <si>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</si>
  <si>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</si>
  <si>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</si>
  <si>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</si>
  <si>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</si>
  <si>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</si>
  <si>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</si>
  <si>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</si>
  <si>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</si>
  <si>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</si>
  <si>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</si>
  <si>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</si>
  <si>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</si>
  <si>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</si>
  <si>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</si>
  <si>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</si>
  <si>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</si>
  <si>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</si>
  <si>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</si>
  <si>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</si>
  <si>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</si>
  <si>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</si>
  <si>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</si>
  <si>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</si>
  <si>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</si>
  <si>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</si>
  <si>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</si>
  <si>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</si>
  <si>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</si>
  <si>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</si>
  <si>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</si>
  <si>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</si>
  <si>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</si>
  <si>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</si>
  <si>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</si>
  <si>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</si>
  <si>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</si>
  <si>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</si>
  <si>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</si>
  <si>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</si>
  <si>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</si>
  <si>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</si>
  <si>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</si>
  <si>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</si>
  <si>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</si>
  <si>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</si>
  <si>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</si>
  <si>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</si>
  <si>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</si>
  <si>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</si>
  <si>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</si>
  <si>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</si>
  <si>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</si>
  <si>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</si>
  <si>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</si>
  <si>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</si>
  <si>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</si>
  <si>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</si>
  <si>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</si>
  <si>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</si>
  <si>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</si>
  <si>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</si>
  <si>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</si>
  <si>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</si>
  <si>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</si>
  <si>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</si>
  <si>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</si>
  <si>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</si>
  <si>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</si>
  <si>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</si>
  <si>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</si>
  <si>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</si>
  <si>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</si>
  <si>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</si>
  <si>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</si>
  <si>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</si>
  <si>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</si>
  <si>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</si>
  <si>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</si>
  <si>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</si>
  <si>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</si>
  <si>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</si>
  <si>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</si>
  <si>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</si>
  <si>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</si>
  <si>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</si>
  <si>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</si>
  <si>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</si>
  <si>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</si>
  <si>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</si>
  <si>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</si>
  <si>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</si>
  <si>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</si>
  <si>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</si>
  <si>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</si>
  <si>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</si>
  <si>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</si>
  <si>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</si>
  <si>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</si>
  <si>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</si>
  <si>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</si>
  <si>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</si>
  <si>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</si>
  <si>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</si>
  <si>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</si>
  <si>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</si>
  <si>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</si>
  <si>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</si>
  <si>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</si>
  <si>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</si>
  <si>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</si>
  <si>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</si>
  <si>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</si>
  <si>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</si>
  <si>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</si>
  <si>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</si>
  <si>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</si>
  <si>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</si>
  <si>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</si>
  <si>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</si>
  <si>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</si>
  <si>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</si>
  <si>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</si>
  <si>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</si>
  <si>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</si>
  <si>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</si>
  <si>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</si>
  <si>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</si>
  <si>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</si>
  <si>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</si>
  <si>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</si>
  <si>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</si>
  <si>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</si>
  <si>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</si>
  <si>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</si>
  <si>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</si>
  <si>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</si>
  <si>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</si>
  <si>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</si>
  <si>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</si>
  <si>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</si>
  <si>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</si>
  <si>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</si>
  <si>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</si>
  <si>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</si>
  <si>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</si>
  <si>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</si>
  <si>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</si>
  <si>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</si>
  <si>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</si>
  <si>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</si>
  <si>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</si>
  <si>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</si>
  <si>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</si>
  <si>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</si>
  <si>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</si>
  <si>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</si>
  <si>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</si>
  <si>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</si>
  <si>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</si>
  <si>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</si>
  <si>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</si>
  <si>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</si>
  <si>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</si>
  <si>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</si>
  <si>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</si>
  <si>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</si>
  <si>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</si>
  <si>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</si>
  <si>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</si>
  <si>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</si>
  <si>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</si>
  <si>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</si>
  <si>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</si>
  <si>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</si>
  <si>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</si>
  <si>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</si>
  <si>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</si>
  <si>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</si>
  <si>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</si>
  <si>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</si>
  <si>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</si>
  <si>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</si>
  <si>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</si>
  <si>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</si>
  <si>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</si>
  <si>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</si>
  <si>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</si>
  <si>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</si>
  <si>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</si>
  <si>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</si>
  <si>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</si>
  <si>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</si>
  <si>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</si>
  <si>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</si>
  <si>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</si>
  <si>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</si>
  <si>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</si>
  <si>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</si>
  <si>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</si>
  <si>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</si>
  <si>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</si>
  <si>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</si>
  <si>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</si>
  <si>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</si>
  <si>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</si>
  <si>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</si>
  <si>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</si>
  <si>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</si>
  <si>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</si>
  <si>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</si>
  <si>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</si>
  <si>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</si>
  <si>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</si>
  <si>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</si>
  <si>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</si>
  <si>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</si>
  <si>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</si>
  <si>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</si>
  <si>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</si>
  <si>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</si>
  <si>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</si>
  <si>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</si>
  <si>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</si>
  <si>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</si>
  <si>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</si>
  <si>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</si>
  <si>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</si>
  <si>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</si>
  <si>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</si>
  <si>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</si>
  <si>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</si>
  <si>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</si>
  <si>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</si>
  <si>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</si>
  <si>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</si>
  <si>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</si>
  <si>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</si>
  <si>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</si>
  <si>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</si>
  <si>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</si>
  <si>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</si>
  <si>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</si>
  <si>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</si>
  <si>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</si>
  <si>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</si>
  <si>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</si>
  <si>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</si>
  <si>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</si>
  <si>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</si>
  <si>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</si>
  <si>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</si>
  <si>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</si>
  <si>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</si>
  <si>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</si>
  <si>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</si>
  <si>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</si>
  <si>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</si>
  <si>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</si>
  <si>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</si>
  <si>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</si>
  <si>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</si>
  <si>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</si>
  <si>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</si>
  <si>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</si>
  <si>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</si>
  <si>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</si>
  <si>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</si>
  <si>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</si>
  <si>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</si>
  <si>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</si>
  <si>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</si>
  <si>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</si>
  <si>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</si>
  <si>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</si>
  <si>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</si>
  <si>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</si>
  <si>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</si>
  <si>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</si>
  <si>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</si>
  <si>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</si>
  <si>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</si>
  <si>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</si>
  <si>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</si>
  <si>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</si>
  <si>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</si>
  <si>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</si>
  <si>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</si>
  <si>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</si>
  <si>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</si>
  <si>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</si>
  <si>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</si>
  <si>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</si>
  <si>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</si>
  <si>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</si>
  <si>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</si>
  <si>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</si>
  <si>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</si>
  <si>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</si>
  <si>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</si>
  <si>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</si>
  <si>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</si>
  <si>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</si>
  <si>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</si>
  <si>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</si>
  <si>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</si>
  <si>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</si>
  <si>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</si>
  <si>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</si>
  <si>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</si>
  <si>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</si>
  <si>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</si>
  <si>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</si>
  <si>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</si>
  <si>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</si>
  <si>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</si>
  <si>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</si>
  <si>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</si>
  <si>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</si>
  <si>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</si>
  <si>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</si>
  <si>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</si>
  <si>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</si>
  <si>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</si>
  <si>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</si>
  <si>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</si>
  <si>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</si>
  <si>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</si>
  <si>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</si>
  <si>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</si>
  <si>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</si>
  <si>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</si>
  <si>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</si>
  <si>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</si>
  <si>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</si>
  <si>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</si>
  <si>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</si>
  <si>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</si>
  <si>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</si>
  <si>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</si>
  <si>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</si>
  <si>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</si>
  <si>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</si>
  <si>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</si>
  <si>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</si>
  <si>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</si>
  <si>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</si>
  <si>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</si>
  <si>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</si>
  <si>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</si>
  <si>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</si>
  <si>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</si>
  <si>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</si>
  <si>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</si>
  <si>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</si>
  <si>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</si>
  <si>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</si>
  <si>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</si>
  <si>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</si>
  <si>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</si>
  <si>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</si>
  <si>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</si>
  <si>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</si>
  <si>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</si>
  <si>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</si>
  <si>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</si>
  <si>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</si>
  <si>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</si>
  <si>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</si>
  <si>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</si>
  <si>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</si>
  <si>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</si>
  <si>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</si>
  <si>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</si>
  <si>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</si>
  <si>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</si>
  <si>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</si>
  <si>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</si>
  <si>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</si>
  <si>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</si>
  <si>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</si>
  <si>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</si>
  <si>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</si>
  <si>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</si>
  <si>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</si>
  <si>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</si>
  <si>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</si>
  <si>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</si>
  <si>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</si>
  <si>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</si>
  <si>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</si>
  <si>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</si>
  <si>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</si>
  <si>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</si>
  <si>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</si>
  <si>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</si>
  <si>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</si>
  <si>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</si>
  <si>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</si>
  <si>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</si>
  <si>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</si>
  <si>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</si>
  <si>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</si>
  <si>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</si>
  <si>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</si>
  <si>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</si>
  <si>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</si>
  <si>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</si>
  <si>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</si>
  <si>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</si>
  <si>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</si>
  <si>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</si>
  <si>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</si>
  <si>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</si>
  <si>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</si>
  <si>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</si>
  <si>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</si>
  <si>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</si>
  <si>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</si>
  <si>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</si>
  <si>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</si>
  <si>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</si>
  <si>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</si>
  <si>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</si>
  <si>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</si>
  <si>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</si>
  <si>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</si>
  <si>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</si>
  <si>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</si>
  <si>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</si>
  <si>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</si>
  <si>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</si>
  <si>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</si>
  <si>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</si>
  <si>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</si>
  <si>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</si>
  <si>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</si>
  <si>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</si>
  <si>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</si>
  <si>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</si>
  <si>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</si>
  <si>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</si>
  <si>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</si>
  <si>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</si>
  <si>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</si>
  <si>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</si>
  <si>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</si>
  <si>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</si>
  <si>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</si>
  <si>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</si>
  <si>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</si>
  <si>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</si>
  <si>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</si>
  <si>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</si>
  <si>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</si>
  <si>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</si>
  <si>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</si>
  <si>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</si>
  <si>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</si>
  <si>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</si>
  <si>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</si>
  <si>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</si>
  <si>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</si>
  <si>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</si>
  <si>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</si>
  <si>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</si>
  <si>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</si>
  <si>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</si>
  <si>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</si>
  <si>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</si>
  <si>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</si>
  <si>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</si>
  <si>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</si>
  <si>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</si>
  <si>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</si>
  <si>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</si>
  <si>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</si>
  <si>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</si>
  <si>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</si>
  <si>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</si>
  <si>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</si>
  <si>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</si>
  <si>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</si>
  <si>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</si>
  <si>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</si>
  <si>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</si>
  <si>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</si>
  <si>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</si>
  <si>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</si>
  <si>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</si>
  <si>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</si>
  <si>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</si>
  <si>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</si>
  <si>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</si>
  <si>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</si>
  <si>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</si>
  <si>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</si>
  <si>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</si>
  <si>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</si>
  <si>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</si>
  <si>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</si>
  <si>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</si>
  <si>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</si>
  <si>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</si>
  <si>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</si>
  <si>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</si>
  <si>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</si>
  <si>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</si>
  <si>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</si>
  <si>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</si>
  <si>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</si>
  <si>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</si>
  <si>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</si>
  <si>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</si>
  <si>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</si>
  <si>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</si>
  <si>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</si>
  <si>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</si>
  <si>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</si>
  <si>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</si>
  <si>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</si>
  <si>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</si>
  <si>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</si>
  <si>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</si>
  <si>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</si>
  <si>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</si>
  <si>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</si>
  <si>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</si>
  <si>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</si>
  <si>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</si>
  <si>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</si>
  <si>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</si>
  <si>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</si>
  <si>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</si>
  <si>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</si>
  <si>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</si>
  <si>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</si>
  <si>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</si>
  <si>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</si>
  <si>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</si>
  <si>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</si>
  <si>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</si>
  <si>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</si>
  <si>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</si>
  <si>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</si>
  <si>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</si>
  <si>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</si>
  <si>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</si>
  <si>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</si>
  <si>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</si>
  <si>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</si>
  <si>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</si>
  <si>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</si>
  <si>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</si>
  <si>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</si>
  <si>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</si>
  <si>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</si>
  <si>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</si>
  <si>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</si>
  <si>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</si>
  <si>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</si>
  <si>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</si>
  <si>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</si>
  <si>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</si>
  <si>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</si>
  <si>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</si>
  <si>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</si>
  <si>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</si>
  <si>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</si>
  <si>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</si>
  <si>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</si>
  <si>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</si>
  <si>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</si>
  <si>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</si>
  <si>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</si>
  <si>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</si>
  <si>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</si>
  <si>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</si>
  <si>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</si>
  <si>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</si>
  <si>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</si>
  <si>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</si>
  <si>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</si>
  <si>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</si>
  <si>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</si>
  <si>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</si>
  <si>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</si>
  <si>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</si>
  <si>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</si>
  <si>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</si>
  <si>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</si>
  <si>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</si>
  <si>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</si>
  <si>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</si>
  <si>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</si>
  <si>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</si>
  <si>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</si>
  <si>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</si>
  <si>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</si>
  <si>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</si>
  <si>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</si>
  <si>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</si>
  <si>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</si>
  <si>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</si>
  <si>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</si>
  <si>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</si>
  <si>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</si>
  <si>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</si>
  <si>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</si>
  <si>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</si>
  <si>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</si>
  <si>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</si>
  <si>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</si>
  <si>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</si>
  <si>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</si>
  <si>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</si>
  <si>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</si>
  <si>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</si>
  <si>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</si>
  <si>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</si>
  <si>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</si>
  <si>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</si>
  <si>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</si>
  <si>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</si>
  <si>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</si>
  <si>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</si>
  <si>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</si>
  <si>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</si>
  <si>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</si>
  <si>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</si>
  <si>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</si>
  <si>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</si>
  <si>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</si>
  <si>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</si>
  <si>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</si>
  <si>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</si>
  <si>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</si>
  <si>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</si>
  <si>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</si>
  <si>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</si>
  <si>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</si>
  <si>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</si>
  <si>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</si>
  <si>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</si>
  <si>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</si>
  <si>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</si>
  <si>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</si>
  <si>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</si>
  <si>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</si>
  <si>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</si>
  <si>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</si>
  <si>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</si>
  <si>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</si>
  <si>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</si>
  <si>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</si>
  <si>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</si>
  <si>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</si>
  <si>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</si>
  <si>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</si>
  <si>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</si>
  <si>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</si>
  <si>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</si>
  <si>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</si>
  <si>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</si>
  <si>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</si>
  <si>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</si>
  <si>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</si>
  <si>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</si>
  <si>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</si>
  <si>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</si>
  <si>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</si>
  <si>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</si>
  <si>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</si>
  <si>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</si>
  <si>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</si>
  <si>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</si>
  <si>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</si>
  <si>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</si>
  <si>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</si>
  <si>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</si>
  <si>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</si>
  <si>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</si>
  <si>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</si>
  <si>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</si>
  <si>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</si>
  <si>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</si>
  <si>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</si>
  <si>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</si>
  <si>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</si>
  <si>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</si>
  <si>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</si>
  <si>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</si>
  <si>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</si>
  <si>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</si>
  <si>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</si>
  <si>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</si>
  <si>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</si>
  <si>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</si>
  <si>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</si>
  <si>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</si>
  <si>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</si>
  <si>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</si>
  <si>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</si>
  <si>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</si>
  <si>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</si>
  <si>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</si>
  <si>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</si>
  <si>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</si>
  <si>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</si>
  <si>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</si>
  <si>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</si>
  <si>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</si>
  <si>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</si>
  <si>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</si>
  <si>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</si>
  <si>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</si>
  <si>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</si>
  <si>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</si>
  <si>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</si>
  <si>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</si>
  <si>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</si>
  <si>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</si>
  <si>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</si>
  <si>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</si>
  <si>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</si>
  <si>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</si>
  <si>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</si>
  <si>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</si>
  <si>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</si>
  <si>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</si>
  <si>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</si>
  <si>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</si>
  <si>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</si>
  <si>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</si>
  <si>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</si>
  <si>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</si>
  <si>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</si>
  <si>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</si>
  <si>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</si>
  <si>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</si>
  <si>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</si>
  <si>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</si>
  <si>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</si>
  <si>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</si>
  <si>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</si>
  <si>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</si>
  <si>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</si>
  <si>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</si>
  <si>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</si>
  <si>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</si>
  <si>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</si>
  <si>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</si>
  <si>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</si>
  <si>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</si>
  <si>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</si>
  <si>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</si>
  <si>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</si>
  <si>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</si>
  <si>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</si>
  <si>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</si>
  <si>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</si>
  <si>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</si>
  <si>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</si>
  <si>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</si>
  <si>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</si>
  <si>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</si>
  <si>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</si>
  <si>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</si>
  <si>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</si>
  <si>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</si>
  <si>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</si>
  <si>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</si>
  <si>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</si>
  <si>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</si>
  <si>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</si>
  <si>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</si>
  <si>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</si>
  <si>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</si>
  <si>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</si>
  <si>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</si>
  <si>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</si>
  <si>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</si>
  <si>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</si>
  <si>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</si>
  <si>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</si>
  <si>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</si>
  <si>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</si>
  <si>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</si>
  <si>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</si>
  <si>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</si>
  <si>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</si>
  <si>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</si>
  <si>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</si>
  <si>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</si>
  <si>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</si>
  <si>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</si>
  <si>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</si>
  <si>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</si>
  <si>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</si>
  <si>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</si>
  <si>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</si>
  <si>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</si>
  <si>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</si>
  <si>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</si>
  <si>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</si>
  <si>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</si>
  <si>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</si>
  <si>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</si>
  <si>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</si>
  <si>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</si>
  <si>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</si>
  <si>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</si>
  <si>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</si>
  <si>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</si>
  <si>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</si>
  <si>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</si>
  <si>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</si>
  <si>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</si>
  <si>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</si>
  <si>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</si>
  <si>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</si>
  <si>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</si>
  <si>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</si>
  <si>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</si>
  <si>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</si>
  <si>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</si>
  <si>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</si>
  <si>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</si>
  <si>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</si>
  <si>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</si>
  <si>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</si>
  <si>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</si>
  <si>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</si>
  <si>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</si>
  <si>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</si>
  <si>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</si>
  <si>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</si>
  <si>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</si>
  <si>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</si>
  <si>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</si>
  <si>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</si>
  <si>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</si>
  <si>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</si>
  <si>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</si>
  <si>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</si>
  <si>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</si>
  <si>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</si>
  <si>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</si>
  <si>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</si>
  <si>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</si>
  <si>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</si>
  <si>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</si>
  <si>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</si>
  <si>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</si>
  <si>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</si>
  <si>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</si>
  <si>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</si>
  <si>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</si>
  <si>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</si>
  <si>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</si>
  <si>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</si>
  <si>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</si>
  <si>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</si>
  <si>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</si>
  <si>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</si>
  <si>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</si>
  <si>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</si>
  <si>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</si>
  <si>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</si>
  <si>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</si>
  <si>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</si>
  <si>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</si>
  <si>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</si>
  <si>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</si>
  <si>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</si>
  <si>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</si>
  <si>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</si>
  <si>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</si>
  <si>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</si>
  <si>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</si>
  <si>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</si>
  <si>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</si>
  <si>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</si>
  <si>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</si>
  <si>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</si>
  <si>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</si>
  <si>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</si>
  <si>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</si>
  <si>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</si>
  <si>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</si>
  <si>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</si>
  <si>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</si>
  <si>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</si>
  <si>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</si>
  <si>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</si>
  <si>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</si>
  <si>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</si>
  <si>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</si>
  <si>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</si>
  <si>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</si>
  <si>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</si>
  <si>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</si>
  <si>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</si>
  <si>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</si>
  <si>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</si>
  <si>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</si>
  <si>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</si>
  <si>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</si>
  <si>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</si>
  <si>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</si>
  <si>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</si>
  <si>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</si>
  <si>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</si>
  <si>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</si>
  <si>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</si>
  <si>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</si>
  <si>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</si>
  <si>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</si>
  <si>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</si>
  <si>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</si>
  <si>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</si>
  <si>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</si>
  <si>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</si>
  <si>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</si>
  <si>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</si>
  <si>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</si>
  <si>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</si>
  <si>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</si>
  <si>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</si>
  <si>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</si>
  <si>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</si>
  <si>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</si>
  <si>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</si>
  <si>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</si>
  <si>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</si>
  <si>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</si>
  <si>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</si>
  <si>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</si>
  <si>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</si>
  <si>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</si>
  <si>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</si>
  <si>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</si>
  <si>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</si>
  <si>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</si>
  <si>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</si>
  <si>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</si>
  <si>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</si>
  <si>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</si>
  <si>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</si>
  <si>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</si>
  <si>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</si>
  <si>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</si>
  <si>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</si>
  <si>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</si>
  <si>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</si>
  <si>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</si>
  <si>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</si>
  <si>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</si>
  <si>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</si>
  <si>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</si>
  <si>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</si>
  <si>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</si>
  <si>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</si>
  <si>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</si>
  <si>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</si>
  <si>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</si>
  <si>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</si>
  <si>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</si>
  <si>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</si>
  <si>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</si>
  <si>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</si>
  <si>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</si>
  <si>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</si>
  <si>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</si>
  <si>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</si>
  <si>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</si>
  <si>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</si>
  <si>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</si>
  <si>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</si>
  <si>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</si>
  <si>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</si>
  <si>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</si>
  <si>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</si>
  <si>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</si>
  <si>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</si>
  <si>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</si>
  <si>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</si>
  <si>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</si>
  <si>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</si>
  <si>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</si>
  <si>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</si>
  <si>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</si>
  <si>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</si>
  <si>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</si>
  <si>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</si>
  <si>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</si>
  <si>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</si>
  <si>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</si>
  <si>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</si>
  <si>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</si>
  <si>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</si>
  <si>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</si>
  <si>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</si>
  <si>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</si>
  <si>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</si>
  <si>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</si>
  <si>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</si>
  <si>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</si>
  <si>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</si>
  <si>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</si>
  <si>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</si>
  <si>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</si>
  <si>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</si>
  <si>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</si>
  <si>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</si>
  <si>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</si>
  <si>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</si>
  <si>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</si>
  <si>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</si>
  <si>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</si>
  <si>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</si>
  <si>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</si>
  <si>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</si>
  <si>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</si>
  <si>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</si>
  <si>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</si>
  <si>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</si>
  <si>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</si>
  <si>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</si>
  <si>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</si>
  <si>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</si>
  <si>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</si>
  <si>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</si>
  <si>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</si>
  <si>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</si>
  <si>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</si>
  <si>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</si>
  <si>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</si>
  <si>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</si>
  <si>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</si>
  <si>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</si>
  <si>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</si>
  <si>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</si>
  <si>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</si>
  <si>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</si>
  <si>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</si>
  <si>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</si>
  <si>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</si>
  <si>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</si>
  <si>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</si>
  <si>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</si>
  <si>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</si>
  <si>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</si>
  <si>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</si>
  <si>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</si>
  <si>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</si>
  <si>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</si>
  <si>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</si>
  <si>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</si>
  <si>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</si>
  <si>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</si>
  <si>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</si>
  <si>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</si>
  <si>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</si>
  <si>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</si>
  <si>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</si>
  <si>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</si>
  <si>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</si>
  <si>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</si>
  <si>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</si>
  <si>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</si>
  <si>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</si>
  <si>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</si>
  <si>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</si>
  <si>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</si>
  <si>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</si>
  <si>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</si>
  <si>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</si>
  <si>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</si>
  <si>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</si>
  <si>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</si>
  <si>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</si>
  <si>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</si>
  <si>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</si>
  <si>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</si>
  <si>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</si>
  <si>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</si>
  <si>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</si>
  <si>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</si>
  <si>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</si>
  <si>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</si>
  <si>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</si>
  <si>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</si>
  <si>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</si>
  <si>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</si>
  <si>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</si>
  <si>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</si>
  <si>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</si>
  <si>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</si>
  <si>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</si>
  <si>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</si>
  <si>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</si>
  <si>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</si>
  <si>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</si>
  <si>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</si>
  <si>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</si>
  <si>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</si>
  <si>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</si>
  <si>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</si>
  <si>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</si>
  <si>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</si>
  <si>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</si>
  <si>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</si>
  <si>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</si>
  <si>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</si>
  <si>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</si>
  <si>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</si>
  <si>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</si>
  <si>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</si>
  <si>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</si>
  <si>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</si>
  <si>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</si>
  <si>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</si>
  <si>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</si>
  <si>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</si>
  <si>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</si>
  <si>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</si>
  <si>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</si>
  <si>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</si>
  <si>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</si>
  <si>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</si>
  <si>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</si>
  <si>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</si>
  <si>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</si>
  <si>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</si>
  <si>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</si>
  <si>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</si>
  <si>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</si>
  <si>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</si>
  <si>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</si>
  <si>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</si>
  <si>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</si>
  <si>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</si>
  <si>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</si>
  <si>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</si>
  <si>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</si>
  <si>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</si>
  <si>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</si>
  <si>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</si>
  <si>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</si>
  <si>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</si>
  <si>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</si>
  <si>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</si>
  <si>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</si>
  <si>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</si>
  <si>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</si>
  <si>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</si>
  <si>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</si>
  <si>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</si>
  <si>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</si>
  <si>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</si>
  <si>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</si>
  <si>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</si>
  <si>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</si>
  <si>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</si>
  <si>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</si>
  <si>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</si>
  <si>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</si>
  <si>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</si>
  <si>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</si>
  <si>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</si>
  <si>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</si>
  <si>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</si>
  <si>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</si>
  <si>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</si>
  <si>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</si>
  <si>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</si>
  <si>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</si>
  <si>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</si>
  <si>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</si>
  <si>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</si>
  <si>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</si>
  <si>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</si>
  <si>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</si>
  <si>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</si>
  <si>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</si>
  <si>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</si>
  <si>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</si>
  <si>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</si>
  <si>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</si>
  <si>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</si>
  <si>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</si>
  <si>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</si>
  <si>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</si>
  <si>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</si>
  <si>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</si>
  <si>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</si>
  <si>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</si>
  <si>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</si>
  <si>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</si>
  <si>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</si>
  <si>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</si>
  <si>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</si>
  <si>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</si>
  <si>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</si>
  <si>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</si>
  <si>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</si>
  <si>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</si>
  <si>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</si>
  <si>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</si>
  <si>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</si>
  <si>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</si>
  <si>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</si>
  <si>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</si>
  <si>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</si>
  <si>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</si>
  <si>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</si>
  <si>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</si>
  <si>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</si>
  <si>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</si>
  <si>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</si>
  <si>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</si>
  <si>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</si>
  <si>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</si>
  <si>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</si>
  <si>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</si>
  <si>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</si>
  <si>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</si>
  <si>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</si>
  <si>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</si>
  <si>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</si>
  <si>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</si>
  <si>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</si>
  <si>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</si>
  <si>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</si>
  <si>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</si>
  <si>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</si>
  <si>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</si>
  <si>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</si>
  <si>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</si>
  <si>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</si>
  <si>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</si>
  <si>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</si>
  <si>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</si>
  <si>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</si>
  <si>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</si>
  <si>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</si>
  <si>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</si>
  <si>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</si>
  <si>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</si>
  <si>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</si>
  <si>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</si>
  <si>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</si>
  <si>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</si>
  <si>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</si>
  <si>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</si>
  <si>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</si>
  <si>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</si>
  <si>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</si>
  <si>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</si>
  <si>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</si>
  <si>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</si>
  <si>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</si>
  <si>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</si>
  <si>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</si>
  <si>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</si>
  <si>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</si>
  <si>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</si>
  <si>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</si>
  <si>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</si>
  <si>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</si>
  <si>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</si>
  <si>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</si>
  <si>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</si>
  <si>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</si>
  <si>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</si>
  <si>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</si>
  <si>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</si>
  <si>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</si>
  <si>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</si>
  <si>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</si>
  <si>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</si>
  <si>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</si>
  <si>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</si>
  <si>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</si>
  <si>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</si>
  <si>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</si>
  <si>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</si>
  <si>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</si>
  <si>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</si>
  <si>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</si>
  <si>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</si>
  <si>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</si>
  <si>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</si>
  <si>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</si>
  <si>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</si>
  <si>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</si>
  <si>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</si>
  <si>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</si>
  <si>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</si>
  <si>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</si>
  <si>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</si>
  <si>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</si>
  <si>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</si>
  <si>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</si>
  <si>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</si>
  <si>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</si>
  <si>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</si>
  <si>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</si>
  <si>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</si>
  <si>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</si>
  <si>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</si>
  <si>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</si>
  <si>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</si>
  <si>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</si>
  <si>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</si>
  <si>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</si>
  <si>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</si>
  <si>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</si>
  <si>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</si>
  <si>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</si>
  <si>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</si>
  <si>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</si>
  <si>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</si>
  <si>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</si>
  <si>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</si>
  <si>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</si>
  <si>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</si>
  <si>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</si>
  <si>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</si>
  <si>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</si>
  <si>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</si>
  <si>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</si>
  <si>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</si>
  <si>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</si>
  <si>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</si>
  <si>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</si>
  <si>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</si>
  <si>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</si>
  <si>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</si>
  <si>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</si>
  <si>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</si>
  <si>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</si>
  <si>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</si>
  <si>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</si>
  <si>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</si>
  <si>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</si>
  <si>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</si>
  <si>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</si>
  <si>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</si>
  <si>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</si>
  <si>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</si>
  <si>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</si>
  <si>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</si>
  <si>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</si>
  <si>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</si>
  <si>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</si>
  <si>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</si>
  <si>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</si>
  <si>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</si>
  <si>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</si>
  <si>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</si>
  <si>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</si>
  <si>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</si>
  <si>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</si>
  <si>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</si>
  <si>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</si>
  <si>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</si>
  <si>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</si>
  <si>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</si>
  <si>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</si>
  <si>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</si>
  <si>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</si>
  <si>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</si>
  <si>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</si>
  <si>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</si>
  <si>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</si>
  <si>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</si>
  <si>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</si>
  <si>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</si>
  <si>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</si>
  <si>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</si>
  <si>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</si>
  <si>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</si>
  <si>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</si>
  <si>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</si>
  <si>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</si>
  <si>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</si>
  <si>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</si>
  <si>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</si>
  <si>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</si>
  <si>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</si>
  <si>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</si>
  <si>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</si>
  <si>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</si>
  <si>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</si>
  <si>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</si>
  <si>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</si>
  <si>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</si>
  <si>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</si>
  <si>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</si>
  <si>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</si>
  <si>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</si>
  <si>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</si>
  <si>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</si>
  <si>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</si>
  <si>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</si>
  <si>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</si>
  <si>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</si>
  <si>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</si>
  <si>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</si>
  <si>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</si>
  <si>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</si>
  <si>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</si>
  <si>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</si>
  <si>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</si>
  <si>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</si>
  <si>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</si>
  <si>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</si>
  <si>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</si>
  <si>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</si>
  <si>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</si>
  <si>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</si>
  <si>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</si>
  <si>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</si>
  <si>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</si>
  <si>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</si>
  <si>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</si>
  <si>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</si>
  <si>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</si>
  <si>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</si>
  <si>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</si>
  <si>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</si>
  <si>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</si>
  <si>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</si>
  <si>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</si>
  <si>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</si>
  <si>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</si>
  <si>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</si>
  <si>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</si>
  <si>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</si>
  <si>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</si>
  <si>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</si>
  <si>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</si>
  <si>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</si>
  <si>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</si>
  <si>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</si>
  <si>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</si>
  <si>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</si>
  <si>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</si>
  <si>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</si>
  <si>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</si>
  <si>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</si>
  <si>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</si>
  <si>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</si>
  <si>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</si>
  <si>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</si>
  <si>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</si>
  <si>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</si>
  <si>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</si>
  <si>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</si>
  <si>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</si>
  <si>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</si>
  <si>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</si>
  <si>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</si>
  <si>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</si>
  <si>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</si>
  <si>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</si>
  <si>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</si>
  <si>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</si>
  <si>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</si>
  <si>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</si>
  <si>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</si>
  <si>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</si>
  <si>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</si>
  <si>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</si>
  <si>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</si>
  <si>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</si>
  <si>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</si>
  <si>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</si>
  <si>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</si>
  <si>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</si>
  <si>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</si>
  <si>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</si>
  <si>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</si>
  <si>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</si>
  <si>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</si>
  <si>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</si>
  <si>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</si>
  <si>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</si>
  <si>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</si>
  <si>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</si>
  <si>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</si>
  <si>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</si>
  <si>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</si>
  <si>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</si>
  <si>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</si>
  <si>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</si>
  <si>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</si>
  <si>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</si>
  <si>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</si>
  <si>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</si>
  <si>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</si>
  <si>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</si>
  <si>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</si>
  <si>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</si>
  <si>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</si>
  <si>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</si>
  <si>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</si>
  <si>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</si>
  <si>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</si>
  <si>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</si>
  <si>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</si>
  <si>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</si>
  <si>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</si>
  <si>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</si>
  <si>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</si>
  <si>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</si>
  <si>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</si>
  <si>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</si>
  <si>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</si>
  <si>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</si>
  <si>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</si>
  <si>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</si>
  <si>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</si>
  <si>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</si>
  <si>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</si>
  <si>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</si>
  <si>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</si>
  <si>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</si>
  <si>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</si>
  <si>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</si>
  <si>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</si>
  <si>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</si>
  <si>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</si>
  <si>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</si>
  <si>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</si>
  <si>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</si>
  <si>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</si>
  <si>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</si>
  <si>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</si>
  <si>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</si>
  <si>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</si>
  <si>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</si>
  <si>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</si>
  <si>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</si>
  <si>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</si>
  <si>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</si>
  <si>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</si>
  <si>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</si>
  <si>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</si>
  <si>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</si>
  <si>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</si>
  <si>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</si>
  <si>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</si>
  <si>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</si>
  <si>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</si>
  <si>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</si>
  <si>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</si>
  <si>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</si>
  <si>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</si>
  <si>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</si>
  <si>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</si>
  <si>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</si>
  <si>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</si>
  <si>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</si>
  <si>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</si>
  <si>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</si>
  <si>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</si>
  <si>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</si>
  <si>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</si>
  <si>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</si>
  <si>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</si>
  <si>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</si>
  <si>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</si>
  <si>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</si>
  <si>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</si>
  <si>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</si>
  <si>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</si>
  <si>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</si>
  <si>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</si>
  <si>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</si>
  <si>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</si>
  <si>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</si>
  <si>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</si>
  <si>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</si>
  <si>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</si>
  <si>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</si>
  <si>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</si>
  <si>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</si>
  <si>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</si>
  <si>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</si>
  <si>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</si>
  <si>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</si>
  <si>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</si>
  <si>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</si>
  <si>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</si>
  <si>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</si>
  <si>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</si>
  <si>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</si>
  <si>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</si>
  <si>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</si>
  <si>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</si>
  <si>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</si>
  <si>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</si>
  <si>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</si>
  <si>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</si>
  <si>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</si>
  <si>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</si>
  <si>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</si>
  <si>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</si>
  <si>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</si>
  <si>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</si>
  <si>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</si>
  <si>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</si>
  <si>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</si>
  <si>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</si>
  <si>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</si>
  <si>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</si>
  <si>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</si>
  <si>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</si>
  <si>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</si>
  <si>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</si>
  <si>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</si>
  <si>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</si>
  <si>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</si>
  <si>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</si>
  <si>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</si>
  <si>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</si>
  <si>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</si>
  <si>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</si>
  <si>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</si>
  <si>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</si>
  <si>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</si>
  <si>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</si>
  <si>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</si>
  <si>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</si>
  <si>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</si>
  <si>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</si>
  <si>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</si>
  <si>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</si>
  <si>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</si>
  <si>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</si>
  <si>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</si>
  <si>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</si>
  <si>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</si>
  <si>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</si>
  <si>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</si>
  <si>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</si>
  <si>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</si>
  <si>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</si>
  <si>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</si>
  <si>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</si>
  <si>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</si>
  <si>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</si>
  <si>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</si>
  <si>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</si>
  <si>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</si>
  <si>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</si>
  <si>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</si>
  <si>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</si>
  <si>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</si>
  <si>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</si>
  <si>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</si>
  <si>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</si>
  <si>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</si>
  <si>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</si>
  <si>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</si>
  <si>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</si>
  <si>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</si>
  <si>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</si>
  <si>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</si>
  <si>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</si>
  <si>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</si>
  <si>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</si>
  <si>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</si>
  <si>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</si>
  <si>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</si>
  <si>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</si>
  <si>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</si>
  <si>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</si>
  <si>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</si>
  <si>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</si>
  <si>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</si>
  <si>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</si>
  <si>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</si>
  <si>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</si>
  <si>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</si>
  <si>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</si>
  <si>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</si>
  <si>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</si>
  <si>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</si>
  <si>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</si>
  <si>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</si>
  <si>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</si>
  <si>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</si>
  <si>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</si>
  <si>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</si>
  <si>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</si>
  <si>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</si>
  <si>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</si>
  <si>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</si>
  <si>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</si>
  <si>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</si>
  <si>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</si>
  <si>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</si>
  <si>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</si>
  <si>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</si>
  <si>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</si>
  <si>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</si>
  <si>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</si>
  <si>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</si>
  <si>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</si>
  <si>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</si>
  <si>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</si>
  <si>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</si>
  <si>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</si>
  <si>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</si>
  <si>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</si>
  <si>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</si>
  <si>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</si>
  <si>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</si>
  <si>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</si>
  <si>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</si>
  <si>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</si>
  <si>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</si>
  <si>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</si>
  <si>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</si>
  <si>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</si>
  <si>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</si>
  <si>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</si>
  <si>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</si>
  <si>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</si>
  <si>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</si>
  <si>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</si>
  <si>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</si>
  <si>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</si>
  <si>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</si>
  <si>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</si>
  <si>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</si>
  <si>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</si>
  <si>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</si>
  <si>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</si>
  <si>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</si>
  <si>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</si>
  <si>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</si>
  <si>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</si>
  <si>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</si>
  <si>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</si>
  <si>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</si>
  <si>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</si>
  <si>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</si>
  <si>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</si>
  <si>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</si>
  <si>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</si>
  <si>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</si>
  <si>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</si>
  <si>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</si>
  <si>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</si>
  <si>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</si>
  <si>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</si>
  <si>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</si>
  <si>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</si>
  <si>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</si>
  <si>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</si>
  <si>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</si>
  <si>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</si>
  <si>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</si>
  <si>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</si>
  <si>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</si>
  <si>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</si>
  <si>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</si>
  <si>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</si>
  <si>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</si>
  <si>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</si>
  <si>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</si>
  <si>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</si>
  <si>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</si>
  <si>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</si>
  <si>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</si>
  <si>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</si>
  <si>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</si>
  <si>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</si>
  <si>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</si>
  <si>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</si>
  <si>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</si>
  <si>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</si>
  <si>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</si>
  <si>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</si>
  <si>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</si>
  <si>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</si>
  <si>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</si>
  <si>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</si>
  <si>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</si>
  <si>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</si>
  <si>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</si>
  <si>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</si>
  <si>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</si>
  <si>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</si>
  <si>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</si>
  <si>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</si>
  <si>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</si>
  <si>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</si>
  <si>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</si>
  <si>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</si>
  <si>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</si>
  <si>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</si>
  <si>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</si>
  <si>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</si>
  <si>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</si>
  <si>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</si>
  <si>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</si>
  <si>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</si>
  <si>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</si>
  <si>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</si>
  <si>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</si>
  <si>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</si>
  <si>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</si>
  <si>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</si>
  <si>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</si>
  <si>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</si>
  <si>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</si>
  <si>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</si>
  <si>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</si>
  <si>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</si>
  <si>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</si>
  <si>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</si>
  <si>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</si>
  <si>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</si>
  <si>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</si>
  <si>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</si>
  <si>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</si>
  <si>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</si>
  <si>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</si>
  <si>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</si>
  <si>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</si>
  <si>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</si>
  <si>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</si>
  <si>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</si>
  <si>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</si>
  <si>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</si>
  <si>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</si>
  <si>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</si>
  <si>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</si>
  <si>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</si>
  <si>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</si>
  <si>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</si>
  <si>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</si>
  <si>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</si>
  <si>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</si>
  <si>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</si>
  <si>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</si>
  <si>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</si>
  <si>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</si>
  <si>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</si>
  <si>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</si>
  <si>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</si>
  <si>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</si>
  <si>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</si>
  <si>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</si>
  <si>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</si>
  <si>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</si>
  <si>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</si>
  <si>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</si>
  <si>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</si>
  <si>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</si>
  <si>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</si>
  <si>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</si>
  <si>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</si>
  <si>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</si>
  <si>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</si>
  <si>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</si>
  <si>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</si>
  <si>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</si>
  <si>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</si>
  <si>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</si>
  <si>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</si>
  <si>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</si>
  <si>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</si>
  <si>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</si>
  <si>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</si>
  <si>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</si>
  <si>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</si>
  <si>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</si>
  <si>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</si>
  <si>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</si>
  <si>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</si>
  <si>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</si>
  <si>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</si>
  <si>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</si>
  <si>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</si>
  <si>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</si>
  <si>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</si>
  <si>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</si>
  <si>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</si>
  <si>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</si>
  <si>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</si>
  <si>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</si>
  <si>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</si>
  <si>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</si>
  <si>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</si>
  <si>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</si>
  <si>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</si>
  <si>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</si>
  <si>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</si>
  <si>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</si>
  <si>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</si>
  <si>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</si>
  <si>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</si>
  <si>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</si>
  <si>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</si>
  <si>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</si>
  <si>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</si>
  <si>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</si>
  <si>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</si>
  <si>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</si>
  <si>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</si>
  <si>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</si>
  <si>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</si>
  <si>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</si>
  <si>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</si>
  <si>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</si>
  <si>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</si>
  <si>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</si>
  <si>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</si>
  <si>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</si>
  <si>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</si>
  <si>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</si>
  <si>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</si>
  <si>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</si>
  <si>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</si>
  <si>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</si>
  <si>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</si>
  <si>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</si>
  <si>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</si>
  <si>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</si>
  <si>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</si>
  <si>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</si>
  <si>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</si>
  <si>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</si>
  <si>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</si>
  <si>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</si>
  <si>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</si>
  <si>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</si>
  <si>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</si>
  <si>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</si>
  <si>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</si>
  <si>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</si>
  <si>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</si>
  <si>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</si>
  <si>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</si>
  <si>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</si>
  <si>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</si>
  <si>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</si>
  <si>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</si>
  <si>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</si>
  <si>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</si>
  <si>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</si>
  <si>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</si>
  <si>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</si>
  <si>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</si>
  <si>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</si>
  <si>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</si>
  <si>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</si>
  <si>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</si>
  <si>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</si>
  <si>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</si>
  <si>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</si>
  <si>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</si>
  <si>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</si>
  <si>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</si>
  <si>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</si>
  <si>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</si>
  <si>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</si>
  <si>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</si>
  <si>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</si>
  <si>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</si>
  <si>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</si>
  <si>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</si>
  <si>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</si>
  <si>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</si>
  <si>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</si>
  <si>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</si>
  <si>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</si>
  <si>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</si>
  <si>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</si>
  <si>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</si>
  <si>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</si>
  <si>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</si>
  <si>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</si>
  <si>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</si>
  <si>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</si>
  <si>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</si>
  <si>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</si>
  <si>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</si>
  <si>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</si>
  <si>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</si>
  <si>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</si>
  <si>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</si>
  <si>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</si>
  <si>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</si>
  <si>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</si>
  <si>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</si>
  <si>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</si>
  <si>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</si>
  <si>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</si>
  <si>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</si>
  <si>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</si>
  <si>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</si>
  <si>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</si>
  <si>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</si>
  <si>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</si>
  <si>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</si>
  <si>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</si>
  <si>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</si>
  <si>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</si>
  <si>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</si>
  <si>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</si>
  <si>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</si>
  <si>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</si>
  <si>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</si>
  <si>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</si>
  <si>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</si>
  <si>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</si>
  <si>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</si>
  <si>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</si>
  <si>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</si>
  <si>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</si>
  <si>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</si>
  <si>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</si>
  <si>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</si>
  <si>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</si>
  <si>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</si>
  <si>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</si>
  <si>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</si>
  <si>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</si>
  <si>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</si>
  <si>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</si>
  <si>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</si>
  <si>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</si>
  <si>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</si>
  <si>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</si>
  <si>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</si>
  <si>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</si>
  <si>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</si>
  <si>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</si>
  <si>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</si>
  <si>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</si>
  <si>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</si>
  <si>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</si>
  <si>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</si>
  <si>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</si>
  <si>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</si>
  <si>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</si>
  <si>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</si>
  <si>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</si>
  <si>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</si>
  <si>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</si>
  <si>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</si>
  <si>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</si>
  <si>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</si>
  <si>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</si>
  <si>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</si>
  <si>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</si>
  <si>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</si>
  <si>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</si>
  <si>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</si>
  <si>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</si>
  <si>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</si>
  <si>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</si>
  <si>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</si>
  <si>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</si>
  <si>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</si>
  <si>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</si>
  <si>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</si>
  <si>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</si>
  <si>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</si>
  <si>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</si>
  <si>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</si>
  <si>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</si>
  <si>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</si>
  <si>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</si>
  <si>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</si>
  <si>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</si>
  <si>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</si>
  <si>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</si>
  <si>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</si>
  <si>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</si>
  <si>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</si>
  <si>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</si>
  <si>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</si>
  <si>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</si>
  <si>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</si>
  <si>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</si>
  <si>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</si>
  <si>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</si>
  <si>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</si>
  <si>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</si>
  <si>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</si>
  <si>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</si>
  <si>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</si>
  <si>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</si>
  <si>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</si>
  <si>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</si>
  <si>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</si>
  <si>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</si>
  <si>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</si>
  <si>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</si>
  <si>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</si>
  <si>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</si>
  <si>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</si>
  <si>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</si>
  <si>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</si>
  <si>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</si>
  <si>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</si>
  <si>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</si>
  <si>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</si>
  <si>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</si>
  <si>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</si>
  <si>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</si>
  <si>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</si>
  <si>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</si>
  <si>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</si>
  <si>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</si>
  <si>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</si>
  <si>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</si>
  <si>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</si>
  <si>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</si>
  <si>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</si>
  <si>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</si>
  <si>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</si>
  <si>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</si>
  <si>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</si>
  <si>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</si>
  <si>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</si>
  <si>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</si>
  <si>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</si>
  <si>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</si>
  <si>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</si>
  <si>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</si>
  <si>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</si>
  <si>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</si>
  <si>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</si>
  <si>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</si>
  <si>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</si>
  <si>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</si>
  <si>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</si>
  <si>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</si>
  <si>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</si>
  <si>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</si>
  <si>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</si>
  <si>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</si>
  <si>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</si>
  <si>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</si>
  <si>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</si>
  <si>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</si>
  <si>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</si>
  <si>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</si>
  <si>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</si>
  <si>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</si>
  <si>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</si>
  <si>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</si>
  <si>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</si>
  <si>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</si>
  <si>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</si>
  <si>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</si>
  <si>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</si>
  <si>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</si>
  <si>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</si>
  <si>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</si>
  <si>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</si>
  <si>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</si>
  <si>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</si>
  <si>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</si>
  <si>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</si>
  <si>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</si>
  <si>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</si>
  <si>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</si>
  <si>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</si>
  <si>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</si>
  <si>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</si>
  <si>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</si>
  <si>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</si>
  <si>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</si>
  <si>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</si>
  <si>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</si>
  <si>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</si>
  <si>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</si>
  <si>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</si>
  <si>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</si>
  <si>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</si>
  <si>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</si>
  <si>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</si>
  <si>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</si>
  <si>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</si>
  <si>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</si>
  <si>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</si>
  <si>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</si>
  <si>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</si>
  <si>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</si>
  <si>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</si>
  <si>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</si>
  <si>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</si>
  <si>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</si>
  <si>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</si>
  <si>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</si>
  <si>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</si>
  <si>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</si>
  <si>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</si>
  <si>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</si>
  <si>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</si>
  <si>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</si>
  <si>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</si>
  <si>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</si>
  <si>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</si>
  <si>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</si>
  <si>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</si>
  <si>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</si>
  <si>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</si>
  <si>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</si>
  <si>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</si>
  <si>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</si>
  <si>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</si>
  <si>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</si>
  <si>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</si>
  <si>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</si>
  <si>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</si>
  <si>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</si>
  <si>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</si>
  <si>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</si>
  <si>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</si>
  <si>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</si>
  <si>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</si>
  <si>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</si>
  <si>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</si>
  <si>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</si>
  <si>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</si>
  <si>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</si>
  <si>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</si>
  <si>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</si>
  <si>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</si>
  <si>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</si>
  <si>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</si>
  <si>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</si>
  <si>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</si>
  <si>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</si>
  <si>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</si>
  <si>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</si>
  <si>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</si>
  <si>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</si>
  <si>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</si>
  <si>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</si>
  <si>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</si>
  <si>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</si>
  <si>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</si>
  <si>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</si>
  <si>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</si>
  <si>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</si>
  <si>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</si>
  <si>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</si>
  <si>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</si>
  <si>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</si>
  <si>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</si>
  <si>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</si>
  <si>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</si>
  <si>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</si>
  <si>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</si>
  <si>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</si>
  <si>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</si>
  <si>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</si>
  <si>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</si>
  <si>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</si>
  <si>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</si>
  <si>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</si>
  <si>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</si>
  <si>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</si>
  <si>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</si>
  <si>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</si>
  <si>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</si>
  <si>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</si>
  <si>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</si>
  <si>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</si>
  <si>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</si>
  <si>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</si>
  <si>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</si>
  <si>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</si>
  <si>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</si>
  <si>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</si>
  <si>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</si>
  <si>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</si>
  <si>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</si>
  <si>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</si>
  <si>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</si>
  <si>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</si>
  <si>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</si>
  <si>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</si>
  <si>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</si>
  <si>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</si>
  <si>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</si>
  <si>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</si>
  <si>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</si>
  <si>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</si>
  <si>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</si>
  <si>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</si>
  <si>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</si>
  <si>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</si>
  <si>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</si>
  <si>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</si>
  <si>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</si>
  <si>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</si>
  <si>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</si>
  <si>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</si>
  <si>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</si>
  <si>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</si>
  <si>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</si>
  <si>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</si>
  <si>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</si>
  <si>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</si>
  <si>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</si>
  <si>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</si>
  <si>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</si>
  <si>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</si>
  <si>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</si>
  <si>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</si>
  <si>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</si>
  <si>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</si>
  <si>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</si>
  <si>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</si>
  <si>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</si>
  <si>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</si>
  <si>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</si>
  <si>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</si>
  <si>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</si>
  <si>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</si>
  <si>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</si>
  <si>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</si>
  <si>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</si>
  <si>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</si>
  <si>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</si>
  <si>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</si>
  <si>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</si>
  <si>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</si>
  <si>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</si>
  <si>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</si>
  <si>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</si>
  <si>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</si>
  <si>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</si>
  <si>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</si>
  <si>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</si>
  <si>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</si>
  <si>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</si>
  <si>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</si>
  <si>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</si>
  <si>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</si>
  <si>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</si>
  <si>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</si>
  <si>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</si>
  <si>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</si>
  <si>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</si>
  <si>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</si>
  <si>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</si>
  <si>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</si>
  <si>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</si>
  <si>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</si>
  <si>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</si>
  <si>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</si>
  <si>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</si>
  <si>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</si>
  <si>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</si>
  <si>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</si>
  <si>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</si>
  <si>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</si>
  <si>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</si>
  <si>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</si>
  <si>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</si>
  <si>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</si>
  <si>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</si>
  <si>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</si>
  <si>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</si>
  <si>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</si>
  <si>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</si>
  <si>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</si>
  <si>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</si>
  <si>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</si>
  <si>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</si>
  <si>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</si>
  <si>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</si>
  <si>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</si>
  <si>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</si>
  <si>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</si>
  <si>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</si>
  <si>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</si>
  <si>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</si>
  <si>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</si>
  <si>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</si>
  <si>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</si>
  <si>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</si>
  <si>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</si>
  <si>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</si>
  <si>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</si>
  <si>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</si>
  <si>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</si>
  <si>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</si>
  <si>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</si>
  <si>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</si>
  <si>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</si>
  <si>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</si>
  <si>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</si>
  <si>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</si>
  <si>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</si>
  <si>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</si>
  <si>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</si>
  <si>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</si>
  <si>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</si>
  <si>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</si>
  <si>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</si>
  <si>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</si>
  <si>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</si>
  <si>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</si>
  <si>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</si>
  <si>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</si>
  <si>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</si>
  <si>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</si>
  <si>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</si>
  <si>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</si>
  <si>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</si>
  <si>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</si>
  <si>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</si>
  <si>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</si>
  <si>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</si>
  <si>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</si>
  <si>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</si>
  <si>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</si>
  <si>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</si>
  <si>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</si>
  <si>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</si>
  <si>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</si>
  <si>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</si>
  <si>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</si>
  <si>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</si>
  <si>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</si>
  <si>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</si>
  <si>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</si>
  <si>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</si>
  <si>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</si>
  <si>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</si>
  <si>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</si>
  <si>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</si>
  <si>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</si>
  <si>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</si>
  <si>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</si>
  <si>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</si>
  <si>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</si>
  <si>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</si>
  <si>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</si>
  <si>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</si>
  <si>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</si>
  <si>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</si>
  <si>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</si>
  <si>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</si>
  <si>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</si>
  <si>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</si>
  <si>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</si>
  <si>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</si>
  <si>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</si>
  <si>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</si>
  <si>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</si>
  <si>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</si>
  <si>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</si>
  <si>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</si>
  <si>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</si>
  <si>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</si>
  <si>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</si>
  <si>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</si>
  <si>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</si>
  <si>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</si>
  <si>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</si>
  <si>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</si>
  <si>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</si>
  <si>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</si>
  <si>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</si>
  <si>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</si>
  <si>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</si>
  <si>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</si>
  <si>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</si>
  <si>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</si>
  <si>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</si>
  <si>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</si>
  <si>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</si>
  <si>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</si>
  <si>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</si>
  <si>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</si>
  <si>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</si>
  <si>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</si>
  <si>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</si>
  <si>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</si>
  <si>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</si>
  <si>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</si>
  <si>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</si>
  <si>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</si>
  <si>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</si>
  <si>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</si>
  <si>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</si>
  <si>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</si>
  <si>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</si>
  <si>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</si>
  <si>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</si>
  <si>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</si>
  <si>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</si>
  <si>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</si>
  <si>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</si>
  <si>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</si>
  <si>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</si>
  <si>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</si>
  <si>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</si>
  <si>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</si>
  <si>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</si>
  <si>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</si>
  <si>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</si>
  <si>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</si>
  <si>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</si>
  <si>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</si>
  <si>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</si>
  <si>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</si>
  <si>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</si>
  <si>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</si>
  <si>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</si>
  <si>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</si>
  <si>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</si>
  <si>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</si>
  <si>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</si>
  <si>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</si>
  <si>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</si>
  <si>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</si>
  <si>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</si>
  <si>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</si>
  <si>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</si>
  <si>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</si>
  <si>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</si>
  <si>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</si>
  <si>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</si>
  <si>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</si>
  <si>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</si>
  <si>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</si>
  <si>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</si>
  <si>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</si>
  <si>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</si>
  <si>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</si>
  <si>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</si>
  <si>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</si>
  <si>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</si>
  <si>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</si>
  <si>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</si>
  <si>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</si>
  <si>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</si>
  <si>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</si>
  <si>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</si>
  <si>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</si>
  <si>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</si>
  <si>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</si>
  <si>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</si>
  <si>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</si>
  <si>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</si>
  <si>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</si>
  <si>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</si>
  <si>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</si>
  <si>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</si>
  <si>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</si>
  <si>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</si>
  <si>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</si>
  <si>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</si>
  <si>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</si>
  <si>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</si>
  <si>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</si>
  <si>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</si>
  <si>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</si>
  <si>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</si>
  <si>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</si>
  <si>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</si>
  <si>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</si>
  <si>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</si>
  <si>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</si>
  <si>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</si>
  <si>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</si>
  <si>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</si>
  <si>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</si>
  <si>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</si>
  <si>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</si>
  <si>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</si>
  <si>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</si>
  <si>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</si>
  <si>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</si>
  <si>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</si>
  <si>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</si>
  <si>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</si>
  <si>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</si>
  <si>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</si>
  <si>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</si>
  <si>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</si>
  <si>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</si>
  <si>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</si>
  <si>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</si>
  <si>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</si>
  <si>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</si>
  <si>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</si>
  <si>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</si>
  <si>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</si>
  <si>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</si>
  <si>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</si>
  <si>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</si>
  <si>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</si>
  <si>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</si>
  <si>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</si>
  <si>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</si>
  <si>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</si>
  <si>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</si>
  <si>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</si>
  <si>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</si>
  <si>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</si>
  <si>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</si>
  <si>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</si>
  <si>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</si>
  <si>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</si>
  <si>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</si>
  <si>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</si>
  <si>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</si>
  <si>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</si>
  <si>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</si>
  <si>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</si>
  <si>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</si>
  <si>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</si>
  <si>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</si>
  <si>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</si>
  <si>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</si>
  <si>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</si>
  <si>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</si>
  <si>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</si>
  <si>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</si>
  <si>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</si>
  <si>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</si>
  <si>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</si>
  <si>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</si>
  <si>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</si>
  <si>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</si>
  <si>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</si>
  <si>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</si>
  <si>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</si>
  <si>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</si>
  <si>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</si>
  <si>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</si>
  <si>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</si>
  <si>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</si>
  <si>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</si>
  <si>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</si>
  <si>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</si>
  <si>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</si>
  <si>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</si>
  <si>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</si>
  <si>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</si>
  <si>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</si>
  <si>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</si>
  <si>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</si>
  <si>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</si>
  <si>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</si>
  <si>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</si>
  <si>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</si>
  <si>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</si>
  <si>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</si>
  <si>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</si>
  <si>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</si>
  <si>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</si>
  <si>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</si>
  <si>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</si>
  <si>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</si>
  <si>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</si>
  <si>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</si>
  <si>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</si>
  <si>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</si>
  <si>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</si>
  <si>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</si>
  <si>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</si>
  <si>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</si>
  <si>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</si>
  <si>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</si>
  <si>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</si>
  <si>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</si>
  <si>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</si>
  <si>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</si>
  <si>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</si>
  <si>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</si>
  <si>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</si>
  <si>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</si>
  <si>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</si>
  <si>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</si>
  <si>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</si>
  <si>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</si>
  <si>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</si>
  <si>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</si>
  <si>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</si>
  <si>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</si>
  <si>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</si>
  <si>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</si>
  <si>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</si>
  <si>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</si>
  <si>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</si>
  <si>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</si>
  <si>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</si>
  <si>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</si>
  <si>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</si>
  <si>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</si>
  <si>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</si>
  <si>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</si>
  <si>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</si>
  <si>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</si>
  <si>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</si>
  <si>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</si>
  <si>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</si>
  <si>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</si>
  <si>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</si>
  <si>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</si>
  <si>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</si>
  <si>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</si>
  <si>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</si>
  <si>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</si>
  <si>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</si>
  <si>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</si>
  <si>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</si>
  <si>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</si>
  <si>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</si>
  <si>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</si>
  <si>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</si>
  <si>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</si>
  <si>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</si>
  <si>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</si>
  <si>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</si>
  <si>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</si>
  <si>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</si>
  <si>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</si>
  <si>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</si>
  <si>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</si>
  <si>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</si>
  <si>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</si>
  <si>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</si>
  <si>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</si>
  <si>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</si>
  <si>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</si>
  <si>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</si>
  <si>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</si>
  <si>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</si>
  <si>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</si>
  <si>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</si>
  <si>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</si>
  <si>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</si>
  <si>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</si>
  <si>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</si>
  <si>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</si>
  <si>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</si>
  <si>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</si>
  <si>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</si>
  <si>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</si>
  <si>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</si>
  <si>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</si>
  <si>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</si>
  <si>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</si>
  <si>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</si>
  <si>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</si>
  <si>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</si>
  <si>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</si>
  <si>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</si>
  <si>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</si>
  <si>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</si>
  <si>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</si>
  <si>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</si>
  <si>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</si>
  <si>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</si>
  <si>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</si>
  <si>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</si>
  <si>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</si>
  <si>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</si>
  <si>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</si>
  <si>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</si>
  <si>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</si>
  <si>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</si>
  <si>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</si>
  <si>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</si>
  <si>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</si>
  <si>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</si>
  <si>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</si>
  <si>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</si>
  <si>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</si>
  <si>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</si>
  <si>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</si>
  <si>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</si>
  <si>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</si>
  <si>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</si>
  <si>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</si>
  <si>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</si>
  <si>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</si>
  <si>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</si>
  <si>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</si>
  <si>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</si>
  <si>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</si>
  <si>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</si>
  <si>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</si>
  <si>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</si>
  <si>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</si>
  <si>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</si>
  <si>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</si>
  <si>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</si>
  <si>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</si>
  <si>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</si>
  <si>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</si>
  <si>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</si>
  <si>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</si>
  <si>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</si>
  <si>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</si>
  <si>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</si>
  <si>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</si>
  <si>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</si>
  <si>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</si>
  <si>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</si>
  <si>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</si>
  <si>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</si>
  <si>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</si>
  <si>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</si>
  <si>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</si>
  <si>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</si>
  <si>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</si>
  <si>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</si>
  <si>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</si>
  <si>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</si>
  <si>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</si>
  <si>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</si>
  <si>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</si>
  <si>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</si>
  <si>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</si>
  <si>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</si>
  <si>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</si>
  <si>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</si>
  <si>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</si>
  <si>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</si>
  <si>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</si>
  <si>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</si>
  <si>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</si>
  <si>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</si>
  <si>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</si>
  <si>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</si>
  <si>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</si>
  <si>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</si>
  <si>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</si>
  <si>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</si>
  <si>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</si>
  <si>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</si>
  <si>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</si>
  <si>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</si>
  <si>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</si>
  <si>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</si>
  <si>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</si>
  <si>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</si>
  <si>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</si>
  <si>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</si>
  <si>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</si>
  <si>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</si>
  <si>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</si>
  <si>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</si>
  <si>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</si>
  <si>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</si>
  <si>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</si>
  <si>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</si>
  <si>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</si>
  <si>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</si>
  <si>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</si>
  <si>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</si>
  <si>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</si>
  <si>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</si>
  <si>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</si>
  <si>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</si>
  <si>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</si>
  <si>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</si>
  <si>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</si>
  <si>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</si>
  <si>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</si>
  <si>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</si>
  <si>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</si>
  <si>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</si>
  <si>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</si>
  <si>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</si>
  <si>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</si>
  <si>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</si>
  <si>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</si>
  <si>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</si>
  <si>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</si>
  <si>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</si>
  <si>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</si>
  <si>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</si>
  <si>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</si>
  <si>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</si>
  <si>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</si>
  <si>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</si>
  <si>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</si>
  <si>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</si>
  <si>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</si>
  <si>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</si>
  <si>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</si>
  <si>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</si>
  <si>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</si>
  <si>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</si>
  <si>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</si>
  <si>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</si>
  <si>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</si>
  <si>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</si>
  <si>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</si>
  <si>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</si>
  <si>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</si>
  <si>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</si>
  <si>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</si>
  <si>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</si>
  <si>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</si>
  <si>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</si>
  <si>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</si>
  <si>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</si>
  <si>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</si>
  <si>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</si>
  <si>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</si>
  <si>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</si>
  <si>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</si>
  <si>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</si>
  <si>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</si>
  <si>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</si>
  <si>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</si>
  <si>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</si>
  <si>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</si>
  <si>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</si>
  <si>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</si>
  <si>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</si>
  <si>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</si>
  <si>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</si>
  <si>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</si>
  <si>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</si>
  <si>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</si>
  <si>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</si>
  <si>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</si>
  <si>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</si>
  <si>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</si>
  <si>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</si>
  <si>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</si>
  <si>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</si>
  <si>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</si>
  <si>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</si>
  <si>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</si>
  <si>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</si>
  <si>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</si>
  <si>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</si>
  <si>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</si>
  <si>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</si>
  <si>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</si>
  <si>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</si>
  <si>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</si>
  <si>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</si>
  <si>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</si>
  <si>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</si>
  <si>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</si>
  <si>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</si>
  <si>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</si>
  <si>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</si>
  <si>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</si>
  <si>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</si>
  <si>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</si>
  <si>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</si>
  <si>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</si>
  <si>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</si>
  <si>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</si>
  <si>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</si>
  <si>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</si>
  <si>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</si>
  <si>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</si>
  <si>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</si>
  <si>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</si>
  <si>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</si>
  <si>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</si>
  <si>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</si>
  <si>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</si>
  <si>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</si>
  <si>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</si>
  <si>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</si>
  <si>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</si>
  <si>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</si>
  <si>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</si>
  <si>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</si>
  <si>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</si>
  <si>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</si>
  <si>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</si>
  <si>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</si>
  <si>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</si>
  <si>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</si>
  <si>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</si>
  <si>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</si>
  <si>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</si>
  <si>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</si>
  <si>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</si>
  <si>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</si>
  <si>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</si>
  <si>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</si>
  <si>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</si>
  <si>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</si>
  <si>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</si>
  <si>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</si>
  <si>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</si>
  <si>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</si>
  <si>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</si>
  <si>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</si>
  <si>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</si>
  <si>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</si>
  <si>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</si>
  <si>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</si>
  <si>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</si>
  <si>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</si>
  <si>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</si>
  <si>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</si>
  <si>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</si>
  <si>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</si>
  <si>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</si>
  <si>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</si>
  <si>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</si>
  <si>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</si>
  <si>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</si>
  <si>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</si>
  <si>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</si>
  <si>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</si>
  <si>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</si>
  <si>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</si>
  <si>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</si>
  <si>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</si>
  <si>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</si>
  <si>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</si>
  <si>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</si>
  <si>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</si>
  <si>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</si>
  <si>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</si>
  <si>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</si>
  <si>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</si>
  <si>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</si>
  <si>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</si>
  <si>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</si>
  <si>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</si>
  <si>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</si>
  <si>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</si>
  <si>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</si>
  <si>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</si>
  <si>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</si>
  <si>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</si>
  <si>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</si>
  <si>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</si>
  <si>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</si>
  <si>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</si>
  <si>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</si>
  <si>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</si>
  <si>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</si>
  <si>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</si>
  <si>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</si>
  <si>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</si>
  <si>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</si>
  <si>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</si>
  <si>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</si>
  <si>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</si>
  <si>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</si>
  <si>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</si>
  <si>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</si>
  <si>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</si>
  <si>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</si>
  <si>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</si>
  <si>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</si>
  <si>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</si>
  <si>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</si>
  <si>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</si>
  <si>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</si>
  <si>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</si>
  <si>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</si>
  <si>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</si>
  <si>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</si>
  <si>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</si>
  <si>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</si>
  <si>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</si>
  <si>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</si>
  <si>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</si>
  <si>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</si>
  <si>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</si>
  <si>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</si>
  <si>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</si>
  <si>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</si>
  <si>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</si>
  <si>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</si>
  <si>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</si>
  <si>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</si>
  <si>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</si>
  <si>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</si>
  <si>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</si>
  <si>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</si>
  <si>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</si>
  <si>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</si>
  <si>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</si>
  <si>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</si>
  <si>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</si>
  <si>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</si>
  <si>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</si>
  <si>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</si>
  <si>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</si>
  <si>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</si>
  <si>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</si>
  <si>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</si>
  <si>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</si>
  <si>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</si>
  <si>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</si>
  <si>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</si>
  <si>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</si>
  <si>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</si>
  <si>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</si>
  <si>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</si>
  <si>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</si>
  <si>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</si>
  <si>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</si>
  <si>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</si>
  <si>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</si>
  <si>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</si>
  <si>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</si>
  <si>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</si>
  <si>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</si>
  <si>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</si>
  <si>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</si>
  <si>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</si>
  <si>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</si>
  <si>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</si>
  <si>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</si>
  <si>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</si>
  <si>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</si>
  <si>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</si>
  <si>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</si>
  <si>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</si>
  <si>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</si>
  <si>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</si>
  <si>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</si>
  <si>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</si>
  <si>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</si>
  <si>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</si>
  <si>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</si>
  <si>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</si>
  <si>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</si>
  <si>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</si>
  <si>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</si>
  <si>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</si>
  <si>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</si>
  <si>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</si>
  <si>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</si>
  <si>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</si>
  <si>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</si>
  <si>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</si>
  <si>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</si>
  <si>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</si>
  <si>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</si>
  <si>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</si>
  <si>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</si>
  <si>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</si>
  <si>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</si>
  <si>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</si>
  <si>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</si>
  <si>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</si>
  <si>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</si>
  <si>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</si>
  <si>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</si>
  <si>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</si>
  <si>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</si>
  <si>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</si>
  <si>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</si>
  <si>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</si>
  <si>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</si>
  <si>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</si>
  <si>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</si>
  <si>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</si>
  <si>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</si>
  <si>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</si>
  <si>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</si>
  <si>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</si>
  <si>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</si>
  <si>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</si>
  <si>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</si>
  <si>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</si>
  <si>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</si>
  <si>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</si>
  <si>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</si>
  <si>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</si>
  <si>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</si>
  <si>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</si>
  <si>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</si>
  <si>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</si>
  <si>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</si>
  <si>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</si>
  <si>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</si>
  <si>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</si>
  <si>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</si>
  <si>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</si>
  <si>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</si>
  <si>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</si>
  <si>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</si>
  <si>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</si>
  <si>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</si>
  <si>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</si>
  <si>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</si>
  <si>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</si>
  <si>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</si>
  <si>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</si>
  <si>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</si>
  <si>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</si>
  <si>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</si>
  <si>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</si>
  <si>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</si>
  <si>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</si>
  <si>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</si>
  <si>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</si>
  <si>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</si>
  <si>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</si>
  <si>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</si>
  <si>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</si>
  <si>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</si>
  <si>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</si>
  <si>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</si>
  <si>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</si>
  <si>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</si>
  <si>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</si>
  <si>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</si>
  <si>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</si>
  <si>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</si>
  <si>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</si>
  <si>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</si>
  <si>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</si>
  <si>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</si>
  <si>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</si>
  <si>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</si>
  <si>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</si>
  <si>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</si>
  <si>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</si>
  <si>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</si>
  <si>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</si>
  <si>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</si>
  <si>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</si>
  <si>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</si>
  <si>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</si>
  <si>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</si>
  <si>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</si>
  <si>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</si>
  <si>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</si>
  <si>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</si>
  <si>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</si>
  <si>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</si>
  <si>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</si>
  <si>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</si>
  <si>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</si>
  <si>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</si>
  <si>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</si>
  <si>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</si>
  <si>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</si>
  <si>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</si>
  <si>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</si>
  <si>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</si>
  <si>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</si>
  <si>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</si>
  <si>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</si>
  <si>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</si>
  <si>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</si>
  <si>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</si>
  <si>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</si>
  <si>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</si>
  <si>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</si>
  <si>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</si>
  <si>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</si>
  <si>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</si>
  <si>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</si>
  <si>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</si>
  <si>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</si>
  <si>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</si>
  <si>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</si>
  <si>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</si>
  <si>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</si>
  <si>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</si>
  <si>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</si>
  <si>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</si>
  <si>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</si>
  <si>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</si>
  <si>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</si>
  <si>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</si>
  <si>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</si>
  <si>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</si>
  <si>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</si>
  <si>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</si>
  <si>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</si>
  <si>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</si>
  <si>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</si>
  <si>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</si>
  <si>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</si>
  <si>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</si>
  <si>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</si>
  <si>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</si>
  <si>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</si>
  <si>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</si>
  <si>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</si>
  <si>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</si>
  <si>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</si>
  <si>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</si>
  <si>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</si>
  <si>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</si>
  <si>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</si>
  <si>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</si>
  <si>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</si>
  <si>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</si>
  <si>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</si>
  <si>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</si>
  <si>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</si>
  <si>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</si>
  <si>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</si>
  <si>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</si>
  <si>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</si>
  <si>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</si>
  <si>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</si>
  <si>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</si>
  <si>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</si>
  <si>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</si>
  <si>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</si>
  <si>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</si>
  <si>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</si>
  <si>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</si>
  <si>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</si>
  <si>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</si>
  <si>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</si>
  <si>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</si>
  <si>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</si>
  <si>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</si>
  <si>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</si>
  <si>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</si>
  <si>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</si>
  <si>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</si>
  <si>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</si>
  <si>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</si>
  <si>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</si>
  <si>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</si>
  <si>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</si>
  <si>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</si>
  <si>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</si>
  <si>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</si>
  <si>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</si>
  <si>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</si>
  <si>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</si>
  <si>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</si>
  <si>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</si>
  <si>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</si>
  <si>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</si>
  <si>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</si>
  <si>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</si>
  <si>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</si>
  <si>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</si>
  <si>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</si>
  <si>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</si>
  <si>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</si>
  <si>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</si>
  <si>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</si>
  <si>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</si>
  <si>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</si>
  <si>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</si>
  <si>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</si>
  <si>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</si>
  <si>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</si>
  <si>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</si>
  <si>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</si>
  <si>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</si>
  <si>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</si>
  <si>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</si>
  <si>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</si>
  <si>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</si>
  <si>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</si>
  <si>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</si>
  <si>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</si>
  <si>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</si>
  <si>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</si>
  <si>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</si>
  <si>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</si>
  <si>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</si>
  <si>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</si>
  <si>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</si>
  <si>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</si>
  <si>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</si>
  <si>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</si>
  <si>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</si>
  <si>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</si>
  <si>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</si>
  <si>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</si>
  <si>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</si>
  <si>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</si>
  <si>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</si>
  <si>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</si>
  <si>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</si>
  <si>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</si>
  <si>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</si>
  <si>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</si>
  <si>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</si>
  <si>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</si>
  <si>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</si>
  <si>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</si>
  <si>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</si>
  <si>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</si>
  <si>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</si>
  <si>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</si>
  <si>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</si>
  <si>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</si>
  <si>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</si>
  <si>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</si>
  <si>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</si>
  <si>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</si>
  <si>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</si>
  <si>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</si>
  <si>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</si>
  <si>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</si>
  <si>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</si>
  <si>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</si>
  <si>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</si>
  <si>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</si>
  <si>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</si>
  <si>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</si>
  <si>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</si>
  <si>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</si>
  <si>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</si>
  <si>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</si>
  <si>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</si>
  <si>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</si>
  <si>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</si>
  <si>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</si>
  <si>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</si>
  <si>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</si>
  <si>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</si>
  <si>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</si>
  <si>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</si>
  <si>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</si>
  <si>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</si>
  <si>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</si>
  <si>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</si>
  <si>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</si>
  <si>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</si>
  <si>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</si>
  <si>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</si>
  <si>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</si>
  <si>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</si>
  <si>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</si>
  <si>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</si>
  <si>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</si>
  <si>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</si>
  <si>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</si>
  <si>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</si>
  <si>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</si>
  <si>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</si>
  <si>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</si>
  <si>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</si>
  <si>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</si>
  <si>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</si>
  <si>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</si>
  <si>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</si>
  <si>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</si>
  <si>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</si>
  <si>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</si>
  <si>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</si>
  <si>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</si>
  <si>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</si>
  <si>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</si>
  <si>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</si>
  <si>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</si>
  <si>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</si>
  <si>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</si>
  <si>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</si>
  <si>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</si>
  <si>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</si>
  <si>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</si>
  <si>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</si>
  <si>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</si>
  <si>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</si>
  <si>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</si>
  <si>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</si>
  <si>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</si>
  <si>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</si>
  <si>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</si>
  <si>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</si>
  <si>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</si>
  <si>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</si>
  <si>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</si>
  <si>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</si>
  <si>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</si>
  <si>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</si>
  <si>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</si>
  <si>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</si>
  <si>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</si>
  <si>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</si>
  <si>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</si>
  <si>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</si>
  <si>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</si>
  <si>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</si>
  <si>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</si>
  <si>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</si>
  <si>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</si>
  <si>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</si>
  <si>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</si>
  <si>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</si>
  <si>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</si>
  <si>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</si>
  <si>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</si>
  <si>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</si>
  <si>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</si>
  <si>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</si>
  <si>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</si>
  <si>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</si>
  <si>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</si>
  <si>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</si>
  <si>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</si>
  <si>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</si>
  <si>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</si>
  <si>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</si>
  <si>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</si>
  <si>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</si>
  <si>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</si>
  <si>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</si>
  <si>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</si>
  <si>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</si>
  <si>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</si>
  <si>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</si>
  <si>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</si>
  <si>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</si>
  <si>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</si>
  <si>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</si>
  <si>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</si>
  <si>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</si>
  <si>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</si>
  <si>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</si>
  <si>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</si>
  <si>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</si>
  <si>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</si>
  <si>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</si>
  <si>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</si>
  <si>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</si>
  <si>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</si>
  <si>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</si>
  <si>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</si>
  <si>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</si>
  <si>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</si>
  <si>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</si>
  <si>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</si>
  <si>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</si>
  <si>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</si>
  <si>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</si>
  <si>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</si>
  <si>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</si>
  <si>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</si>
  <si>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</si>
  <si>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</si>
  <si>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</si>
  <si>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</si>
  <si>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</si>
  <si>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</si>
  <si>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</si>
  <si>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</si>
  <si>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</si>
  <si>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</si>
  <si>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</si>
  <si>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</si>
  <si>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</si>
  <si>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</si>
  <si>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</si>
  <si>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</si>
  <si>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</si>
  <si>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</si>
  <si>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</si>
  <si>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</si>
  <si>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</si>
  <si>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</si>
  <si>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</si>
  <si>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</si>
  <si>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</si>
  <si>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</si>
  <si>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</si>
  <si>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</si>
  <si>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</si>
  <si>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</si>
  <si>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</si>
  <si>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</si>
  <si>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</si>
  <si>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</si>
  <si>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</si>
  <si>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</si>
  <si>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</si>
  <si>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</si>
  <si>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</si>
  <si>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</si>
  <si>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</si>
  <si>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</si>
  <si>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</si>
  <si>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</si>
  <si>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</si>
  <si>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</si>
  <si>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</si>
  <si>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</si>
  <si>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</si>
  <si>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</si>
  <si>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</si>
  <si>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</si>
  <si>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</si>
  <si>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</si>
  <si>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</si>
  <si>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</si>
  <si>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</si>
  <si>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</si>
  <si>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</si>
  <si>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</si>
  <si>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</si>
  <si>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</si>
  <si>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</si>
  <si>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</si>
  <si>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</si>
  <si>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</si>
  <si>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</si>
  <si>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</si>
  <si>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</si>
  <si>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</si>
  <si>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</si>
  <si>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</si>
  <si>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</si>
  <si>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</si>
  <si>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</si>
  <si>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</si>
  <si>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</si>
  <si>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</si>
  <si>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</si>
  <si>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</si>
  <si>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</si>
  <si>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</si>
  <si>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</si>
  <si>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</si>
  <si>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</si>
  <si>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</si>
  <si>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</si>
  <si>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</si>
  <si>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</si>
  <si>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</si>
  <si>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</si>
  <si>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</si>
  <si>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</si>
  <si>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</si>
  <si>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</si>
  <si>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</si>
  <si>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</si>
  <si>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</si>
  <si>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</si>
  <si>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</si>
  <si>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</si>
  <si>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</si>
  <si>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</si>
  <si>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</si>
  <si>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</si>
  <si>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</si>
  <si>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</si>
  <si>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</si>
  <si>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</si>
  <si>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</si>
  <si>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</si>
  <si>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</si>
  <si>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</si>
  <si>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</si>
  <si>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</si>
  <si>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</si>
  <si>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</si>
  <si>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</si>
  <si>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</si>
  <si>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</si>
  <si>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</si>
  <si>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</si>
  <si>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</si>
  <si>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</si>
  <si>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</si>
  <si>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</si>
  <si>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</si>
  <si>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</si>
  <si>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</si>
  <si>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</si>
  <si>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</si>
  <si>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</si>
  <si>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</si>
  <si>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</si>
  <si>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</si>
  <si>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</si>
  <si>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</si>
  <si>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</si>
  <si>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</si>
  <si>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</si>
  <si>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</si>
  <si>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</si>
  <si>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</si>
  <si>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</si>
  <si>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</si>
  <si>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</si>
  <si>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</si>
  <si>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</si>
  <si>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</si>
  <si>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</si>
  <si>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</si>
  <si>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</si>
  <si>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</si>
  <si>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</si>
  <si>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</si>
  <si>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</si>
  <si>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</si>
  <si>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</si>
  <si>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</si>
  <si>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</si>
  <si>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</si>
  <si>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</si>
  <si>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</si>
  <si>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</si>
  <si>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</si>
  <si>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</si>
  <si>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</si>
  <si>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</si>
  <si>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</si>
  <si>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</si>
  <si>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</si>
  <si>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</si>
  <si>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</si>
  <si>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</si>
  <si>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</si>
  <si>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</si>
  <si>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</si>
  <si>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</si>
  <si>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</si>
  <si>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</si>
  <si>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</si>
  <si>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</si>
  <si>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</si>
  <si>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</si>
  <si>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</si>
  <si>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</si>
  <si>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</si>
  <si>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</si>
  <si>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</si>
  <si>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</si>
  <si>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</si>
  <si>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</si>
  <si>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</si>
  <si>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</si>
  <si>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</si>
  <si>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</si>
  <si>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</si>
  <si>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</si>
  <si>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</si>
  <si>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</si>
  <si>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</si>
  <si>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</si>
  <si>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</si>
  <si>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</si>
  <si>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</si>
  <si>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</si>
  <si>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</si>
  <si>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</si>
  <si>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</si>
  <si>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</si>
  <si>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</si>
  <si>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</si>
  <si>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</si>
  <si>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</si>
  <si>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</si>
  <si>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</si>
  <si>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</si>
  <si>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</si>
  <si>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</si>
  <si>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</si>
  <si>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</si>
  <si>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</si>
  <si>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</si>
  <si>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</si>
  <si>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</si>
  <si>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</si>
  <si>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</si>
  <si>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</si>
  <si>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</si>
  <si>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</si>
  <si>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</si>
  <si>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</si>
  <si>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</si>
  <si>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</si>
  <si>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</si>
  <si>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</si>
  <si>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</si>
  <si>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</si>
  <si>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</si>
  <si>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</si>
  <si>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</si>
  <si>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</si>
  <si>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</si>
  <si>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</si>
  <si>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</si>
  <si>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</si>
  <si>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</si>
  <si>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</si>
  <si>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</si>
  <si>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</si>
  <si>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</si>
  <si>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</si>
  <si>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</si>
  <si>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</si>
  <si>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</si>
  <si>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</si>
  <si>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</si>
  <si>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</si>
  <si>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</si>
  <si>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</si>
  <si>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</si>
  <si>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</si>
  <si>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</si>
  <si>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</si>
  <si>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</si>
  <si>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</si>
  <si>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</si>
  <si>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</si>
  <si>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</si>
  <si>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</si>
  <si>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</si>
  <si>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</si>
  <si>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</si>
  <si>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</si>
  <si>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</si>
  <si>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</si>
  <si>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</si>
  <si>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</si>
  <si>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</si>
  <si>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</si>
  <si>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</si>
  <si>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</si>
  <si>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</si>
  <si>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</si>
  <si>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</si>
  <si>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</si>
  <si>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</si>
  <si>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</si>
  <si>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</si>
  <si>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</si>
  <si>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</si>
  <si>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</si>
  <si>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</si>
  <si>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</si>
  <si>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</si>
  <si>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</si>
  <si>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</si>
  <si>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</si>
  <si>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</si>
  <si>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</si>
  <si>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</si>
  <si>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</si>
  <si>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</si>
  <si>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</si>
  <si>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</si>
  <si>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</si>
  <si>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</si>
  <si>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</si>
  <si>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</si>
  <si>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</si>
  <si>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</si>
  <si>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</si>
  <si>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</si>
  <si>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</si>
  <si>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</si>
  <si>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</si>
  <si>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</si>
  <si>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</si>
  <si>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</si>
  <si>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</si>
  <si>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</si>
  <si>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</si>
  <si>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</si>
  <si>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</si>
  <si>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</si>
  <si>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</si>
  <si>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</si>
  <si>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</si>
  <si>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</si>
  <si>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</si>
  <si>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</si>
  <si>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</si>
  <si>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</si>
  <si>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</si>
  <si>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</si>
  <si>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</si>
  <si>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</si>
  <si>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</si>
  <si>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</si>
  <si>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</si>
  <si>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</si>
  <si>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</si>
  <si>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</si>
  <si>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</si>
  <si>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</si>
  <si>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</si>
  <si>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</si>
  <si>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</si>
  <si>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</si>
  <si>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</si>
  <si>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</si>
  <si>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</si>
  <si>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</si>
  <si>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</si>
  <si>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</si>
  <si>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</si>
  <si>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</si>
  <si>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</si>
  <si>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</si>
  <si>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</si>
  <si>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</si>
  <si>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</si>
  <si>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</si>
  <si>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</si>
  <si>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</si>
  <si>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</si>
  <si>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</si>
  <si>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</si>
  <si>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</si>
  <si>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</si>
  <si>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</si>
  <si>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</si>
  <si>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</si>
  <si>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</si>
  <si>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</si>
  <si>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</si>
  <si>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</si>
  <si>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</si>
  <si>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</si>
  <si>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</si>
  <si>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</si>
  <si>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</si>
  <si>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</si>
  <si>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</si>
  <si>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</si>
  <si>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</si>
  <si>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</si>
  <si>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</si>
  <si>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</si>
  <si>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</si>
  <si>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</si>
  <si>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</si>
  <si>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</si>
  <si>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</si>
  <si>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</si>
  <si>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</si>
  <si>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</si>
  <si>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</si>
  <si>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</si>
  <si>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</si>
  <si>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</si>
  <si>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</si>
  <si>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</si>
  <si>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</si>
  <si>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</si>
  <si>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</si>
  <si>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</si>
  <si>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</si>
  <si>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</si>
  <si>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</si>
  <si>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</si>
  <si>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</si>
  <si>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</si>
  <si>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</si>
  <si>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</si>
  <si>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</si>
  <si>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</si>
  <si>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</si>
  <si>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</si>
  <si>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</si>
  <si>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</si>
  <si>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</si>
  <si>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</si>
  <si>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</si>
  <si>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</si>
  <si>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</si>
  <si>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</si>
  <si>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</si>
  <si>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</si>
  <si>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</si>
  <si>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</si>
  <si>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</si>
  <si>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</si>
  <si>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</si>
  <si>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</si>
  <si>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</si>
  <si>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</si>
  <si>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</si>
  <si>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</si>
  <si>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</si>
  <si>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</si>
  <si>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</si>
  <si>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</si>
  <si>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</si>
  <si>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</si>
  <si>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</si>
  <si>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</si>
  <si>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</si>
  <si>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</si>
  <si>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</si>
  <si>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</si>
  <si>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</si>
  <si>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</si>
  <si>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</si>
  <si>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</si>
  <si>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</si>
  <si>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</si>
  <si>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</si>
  <si>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</si>
  <si>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</si>
  <si>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</si>
  <si>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</si>
  <si>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</si>
  <si>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</si>
  <si>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</si>
  <si>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</si>
  <si>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</si>
  <si>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</si>
  <si>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</si>
  <si>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</si>
  <si>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</si>
  <si>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</si>
  <si>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</si>
  <si>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</si>
  <si>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</si>
  <si>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</si>
  <si>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</si>
  <si>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</si>
  <si>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</si>
  <si>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</si>
  <si>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</si>
  <si>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</si>
  <si>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</si>
  <si>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</si>
  <si>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</si>
  <si>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</si>
  <si>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</si>
  <si>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</si>
  <si>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</si>
  <si>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</si>
  <si>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</si>
  <si>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</si>
  <si>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</si>
  <si>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</si>
  <si>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</si>
  <si>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</si>
  <si>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</si>
  <si>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</si>
  <si>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</si>
  <si>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</si>
  <si>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</si>
  <si>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</si>
  <si>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</si>
  <si>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</si>
  <si>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</si>
  <si>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</si>
  <si>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</si>
  <si>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</si>
  <si>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</si>
  <si>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</si>
  <si>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</si>
  <si>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</si>
  <si>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</si>
  <si>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</si>
  <si>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</si>
  <si>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</si>
  <si>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</si>
  <si>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</si>
  <si>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</si>
  <si>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</si>
  <si>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</si>
  <si>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</si>
  <si>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</si>
  <si>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</si>
  <si>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</si>
  <si>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</si>
  <si>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</si>
  <si>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</si>
  <si>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</si>
  <si>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</si>
  <si>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</si>
  <si>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</si>
  <si>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</si>
  <si>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</si>
  <si>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</si>
  <si>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</si>
  <si>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</si>
  <si>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</si>
  <si>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</si>
  <si>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</si>
  <si>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</si>
  <si>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</si>
  <si>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</si>
  <si>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</si>
  <si>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</si>
  <si>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</si>
  <si>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</si>
  <si>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</si>
  <si>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</si>
  <si>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</si>
  <si>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</si>
  <si>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</si>
  <si>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</si>
  <si>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</si>
  <si>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</si>
  <si>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</si>
  <si>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</si>
  <si>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</si>
  <si>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</si>
  <si>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</si>
  <si>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</si>
  <si>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</si>
  <si>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</si>
  <si>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</si>
  <si>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</si>
  <si>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</si>
  <si>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</si>
  <si>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</si>
  <si>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</si>
  <si>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</si>
  <si>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</si>
  <si>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</si>
  <si>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</si>
  <si>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</si>
  <si>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</si>
  <si>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</si>
  <si>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</si>
  <si>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</si>
  <si>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</si>
  <si>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</si>
  <si>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</si>
  <si>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</si>
  <si>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</si>
  <si>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</si>
  <si>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</si>
  <si>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</si>
  <si>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</si>
  <si>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</si>
  <si>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</si>
  <si>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</si>
  <si>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</si>
  <si>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</si>
  <si>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</si>
  <si>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</si>
  <si>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</si>
  <si>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</si>
  <si>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</si>
  <si>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</si>
  <si>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</si>
  <si>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</si>
  <si>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</si>
  <si>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</si>
  <si>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</si>
  <si>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</si>
  <si>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</si>
  <si>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</si>
  <si>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</si>
  <si>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</si>
  <si>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</si>
  <si>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</si>
  <si>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</si>
  <si>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</si>
  <si>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</si>
  <si>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</si>
  <si>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</si>
  <si>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</si>
  <si>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</si>
  <si>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</si>
  <si>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</si>
  <si>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</si>
  <si>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</si>
  <si>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</si>
  <si>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</si>
  <si>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</si>
  <si>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</si>
  <si>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</si>
  <si>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</si>
  <si>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</si>
  <si>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</si>
  <si>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</si>
  <si>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</si>
  <si>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</si>
  <si>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</si>
  <si>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</si>
  <si>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</si>
  <si>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</si>
  <si>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</si>
  <si>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</si>
  <si>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</si>
  <si>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</si>
  <si>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</si>
  <si>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</si>
  <si>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</si>
  <si>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</si>
  <si>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</si>
  <si>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</si>
  <si>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</si>
  <si>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</si>
  <si>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</si>
  <si>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</si>
  <si>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</si>
  <si>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</si>
  <si>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</si>
  <si>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</si>
  <si>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</si>
  <si>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</si>
  <si>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</si>
  <si>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</si>
  <si>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</si>
  <si>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</si>
  <si>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</si>
  <si>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</si>
  <si>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</si>
  <si>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</si>
  <si>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</si>
  <si>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</si>
  <si>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</si>
  <si>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</si>
  <si>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</si>
  <si>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</si>
  <si>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</si>
  <si>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</si>
  <si>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</si>
  <si>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</si>
  <si>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</si>
  <si>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</si>
  <si>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</si>
  <si>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</si>
  <si>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</si>
  <si>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</si>
  <si>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</si>
  <si>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</si>
  <si>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</si>
  <si>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</si>
  <si>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</si>
  <si>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</si>
  <si>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</si>
  <si>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</si>
  <si>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</si>
  <si>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</si>
  <si>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</si>
  <si>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</si>
  <si>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</si>
  <si>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</si>
  <si>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</si>
  <si>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</si>
  <si>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</si>
  <si>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</si>
  <si>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</si>
  <si>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</si>
  <si>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</si>
  <si>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</si>
  <si>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</si>
  <si>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</si>
  <si>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</si>
  <si>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</si>
  <si>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</si>
  <si>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</si>
  <si>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</si>
  <si>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</si>
  <si>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</si>
  <si>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</si>
  <si>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</si>
  <si>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</si>
  <si>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</si>
  <si>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</si>
  <si>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</si>
  <si>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</si>
  <si>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</si>
  <si>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</si>
  <si>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</si>
  <si>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</si>
  <si>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</si>
  <si>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</si>
  <si>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</si>
  <si>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</si>
  <si>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</si>
  <si>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</si>
  <si>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</si>
  <si>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</si>
  <si>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</si>
  <si>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</si>
  <si>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</si>
  <si>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</si>
  <si>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</si>
  <si>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</si>
  <si>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</si>
  <si>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</si>
  <si>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</si>
  <si>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</si>
  <si>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</si>
  <si>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</si>
  <si>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</si>
  <si>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</si>
  <si>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</si>
  <si>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</si>
  <si>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</si>
  <si>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</si>
  <si>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</si>
  <si>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</si>
  <si>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</si>
  <si>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</si>
  <si>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</si>
  <si>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</si>
  <si>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</si>
  <si>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</si>
  <si>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</si>
  <si>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</si>
  <si>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</si>
  <si>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</si>
  <si>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</si>
  <si>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</si>
  <si>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</si>
  <si>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</si>
  <si>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</si>
  <si>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</si>
  <si>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</si>
  <si>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</si>
  <si>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</si>
  <si>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</si>
  <si>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</si>
  <si>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</si>
  <si>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</si>
  <si>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</si>
  <si>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</si>
  <si>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</si>
  <si>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</si>
  <si>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</si>
  <si>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</si>
  <si>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</si>
  <si>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</si>
  <si>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</si>
  <si>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</si>
  <si>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</si>
  <si>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</si>
  <si>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</si>
  <si>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</si>
  <si>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</si>
  <si>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</si>
  <si>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</si>
  <si>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</si>
  <si>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</si>
  <si>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</si>
  <si>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</si>
  <si>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</si>
  <si>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</si>
  <si>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</si>
  <si>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</si>
  <si>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</si>
  <si>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</si>
  <si>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</si>
  <si>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</si>
  <si>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</si>
  <si>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</si>
  <si>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</si>
  <si>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</si>
  <si>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</si>
  <si>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</si>
  <si>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</si>
  <si>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</si>
  <si>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</si>
  <si>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</si>
  <si>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</si>
  <si>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</si>
  <si>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</si>
  <si>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</si>
  <si>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</si>
  <si>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</si>
  <si>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</si>
  <si>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</si>
  <si>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</si>
  <si>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</si>
  <si>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</si>
  <si>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</si>
  <si>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</si>
  <si>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</si>
  <si>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</si>
  <si>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</si>
  <si>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</si>
  <si>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</si>
  <si>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</si>
  <si>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</si>
  <si>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</si>
  <si>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</si>
  <si>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</si>
  <si>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</si>
  <si>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</si>
  <si>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</si>
  <si>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</si>
  <si>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</si>
  <si>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</si>
  <si>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</si>
  <si>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</si>
  <si>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</si>
  <si>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</si>
  <si>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</si>
  <si>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</si>
  <si>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</si>
  <si>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</si>
  <si>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</si>
  <si>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</si>
  <si>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</si>
  <si>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</si>
  <si>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</si>
  <si>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</si>
  <si>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</si>
  <si>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</si>
  <si>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</si>
  <si>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</si>
  <si>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</si>
  <si>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</si>
  <si>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</si>
  <si>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</si>
  <si>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</si>
  <si>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</si>
  <si>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</si>
  <si>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</si>
  <si>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</si>
  <si>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</si>
  <si>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</si>
  <si>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</si>
  <si>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</si>
  <si>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</si>
  <si>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</si>
  <si>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</si>
  <si>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</si>
  <si>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</si>
  <si>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</si>
  <si>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</si>
  <si>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</si>
  <si>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</si>
  <si>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</si>
  <si>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</si>
  <si>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</si>
  <si>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</si>
  <si>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</si>
  <si>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</si>
  <si>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</si>
  <si>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</si>
  <si>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</si>
  <si>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</si>
  <si>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</si>
  <si>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</si>
  <si>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</si>
  <si>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</si>
  <si>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</si>
  <si>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</si>
  <si>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</si>
  <si>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</si>
  <si>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</si>
  <si>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</si>
  <si>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</si>
  <si>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</si>
  <si>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</si>
  <si>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</si>
  <si>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</si>
  <si>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</si>
  <si>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</si>
  <si>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</si>
  <si>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</si>
  <si>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</si>
  <si>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</si>
  <si>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</si>
  <si>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</si>
  <si>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</si>
  <si>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</si>
  <si>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</si>
  <si>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</si>
  <si>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</si>
  <si>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</si>
  <si>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</si>
  <si>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</si>
  <si>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</si>
  <si>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</si>
  <si>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</si>
  <si>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</si>
  <si>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</si>
  <si>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</si>
  <si>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</si>
  <si>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</si>
  <si>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</si>
  <si>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</si>
  <si>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</si>
  <si>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</si>
  <si>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</si>
  <si>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</si>
  <si>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</si>
  <si>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</si>
  <si>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</si>
  <si>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</si>
  <si>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</si>
  <si>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</si>
  <si>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</si>
  <si>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</si>
  <si>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</si>
  <si>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</si>
  <si>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</si>
  <si>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</si>
  <si>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</si>
  <si>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</si>
  <si>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</si>
  <si>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</si>
  <si>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</si>
  <si>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</si>
  <si>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</si>
  <si>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</si>
  <si>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</si>
  <si>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</si>
  <si>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</si>
  <si>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</si>
  <si>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</si>
  <si>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</si>
  <si>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</si>
  <si>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</si>
  <si>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</si>
  <si>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</si>
  <si>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</si>
  <si>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</si>
  <si>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</si>
  <si>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</si>
  <si>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</si>
  <si>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</si>
  <si>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</si>
  <si>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</si>
  <si>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</si>
  <si>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</si>
  <si>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</si>
  <si>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</si>
  <si>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</si>
  <si>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</si>
  <si>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</si>
  <si>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</si>
  <si>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</si>
  <si>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</si>
  <si>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</si>
  <si>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</si>
  <si>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</si>
  <si>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</si>
  <si>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</si>
  <si>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</si>
  <si>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</si>
  <si>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</si>
  <si>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</si>
  <si>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</si>
  <si>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</si>
  <si>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</si>
  <si>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</si>
  <si>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</si>
  <si>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</si>
  <si>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</si>
  <si>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</si>
  <si>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</si>
  <si>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</si>
  <si>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</si>
  <si>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</si>
  <si>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</si>
  <si>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</si>
  <si>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</si>
  <si>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</si>
  <si>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</si>
  <si>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</si>
  <si>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</si>
  <si>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</si>
  <si>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</si>
  <si>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</si>
  <si>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</si>
  <si>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</si>
  <si>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</si>
  <si>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</si>
  <si>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</si>
  <si>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</si>
  <si>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</si>
  <si>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</si>
  <si>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</si>
  <si>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</si>
  <si>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</si>
  <si>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</si>
  <si>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</si>
  <si>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</si>
  <si>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</si>
  <si>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</si>
  <si>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</si>
  <si>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</si>
  <si>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</si>
  <si>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</si>
  <si>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</si>
  <si>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</si>
  <si>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</si>
  <si>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</si>
  <si>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</si>
  <si>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</si>
  <si>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</si>
  <si>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</si>
  <si>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</si>
  <si>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</si>
  <si>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</si>
  <si>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</si>
  <si>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</si>
  <si>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</si>
  <si>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</si>
  <si>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</si>
  <si>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</si>
  <si>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</si>
  <si>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</si>
  <si>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</si>
  <si>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</si>
  <si>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</si>
  <si>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</si>
  <si>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</si>
  <si>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</si>
  <si>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</si>
  <si>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</si>
  <si>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</si>
  <si>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</si>
  <si>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</si>
  <si>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</si>
  <si>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</si>
  <si>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</si>
  <si>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</si>
  <si>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</si>
  <si>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</si>
  <si>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</si>
  <si>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</si>
  <si>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</si>
  <si>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</si>
  <si>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</si>
  <si>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</si>
  <si>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</si>
  <si>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</si>
  <si>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</si>
  <si>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</si>
  <si>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</si>
  <si>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</si>
  <si>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</si>
  <si>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</si>
  <si>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</si>
  <si>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</si>
  <si>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</si>
  <si>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</si>
  <si>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</si>
  <si>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</si>
  <si>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</si>
  <si>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</si>
  <si>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</si>
  <si>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</si>
  <si>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</si>
  <si>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</si>
  <si>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</si>
  <si>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</si>
  <si>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</si>
  <si>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</si>
  <si>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</si>
  <si>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</si>
  <si>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</si>
  <si>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</si>
  <si>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</si>
  <si>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</si>
  <si>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</si>
  <si>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</si>
  <si>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</si>
  <si>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</si>
  <si>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</si>
  <si>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</si>
  <si>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</si>
  <si>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</si>
  <si>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</si>
  <si>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</si>
  <si>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</si>
  <si>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</si>
  <si>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</si>
  <si>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</si>
  <si>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</si>
  <si>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</si>
  <si>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</si>
  <si>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</si>
  <si>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</si>
  <si>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</si>
  <si>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</si>
  <si>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</si>
  <si>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</si>
  <si>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</si>
  <si>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</si>
  <si>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</si>
  <si>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</si>
  <si>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</si>
  <si>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</si>
  <si>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</si>
  <si>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</si>
  <si>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</si>
  <si>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</si>
  <si>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</si>
  <si>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</si>
  <si>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</si>
  <si>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</si>
  <si>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</si>
  <si>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</si>
  <si>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</si>
  <si>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</si>
  <si>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</si>
  <si>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</si>
  <si>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</si>
  <si>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</si>
  <si>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</si>
  <si>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</si>
  <si>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</si>
  <si>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</si>
  <si>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</si>
  <si>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</si>
  <si>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</si>
  <si>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</si>
  <si>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</si>
  <si>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</si>
  <si>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</si>
  <si>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</si>
  <si>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</si>
  <si>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</si>
  <si>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</si>
  <si>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</si>
  <si>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</si>
  <si>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</si>
  <si>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</si>
  <si>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</si>
  <si>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</si>
  <si>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</si>
  <si>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</si>
  <si>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</si>
  <si>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</si>
  <si>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</si>
  <si>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</si>
  <si>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</si>
  <si>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</si>
  <si>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</si>
  <si>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</si>
  <si>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</si>
  <si>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</si>
  <si>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</si>
  <si>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</si>
  <si>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</si>
  <si>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</si>
  <si>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</si>
  <si>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</si>
  <si>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</si>
  <si>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</si>
  <si>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</si>
  <si>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</si>
  <si>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</si>
  <si>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</si>
  <si>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</si>
  <si>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</si>
  <si>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</si>
  <si>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</si>
  <si>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</si>
  <si>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</si>
  <si>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</si>
  <si>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</si>
  <si>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</si>
  <si>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</si>
  <si>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</si>
  <si>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</si>
  <si>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</si>
  <si>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</si>
  <si>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</si>
  <si>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</si>
  <si>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</si>
  <si>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</si>
  <si>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</si>
  <si>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</si>
  <si>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</si>
  <si>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</si>
  <si>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</si>
  <si>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</si>
  <si>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</si>
  <si>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</si>
  <si>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</si>
  <si>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</si>
  <si>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</si>
  <si>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</si>
  <si>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</si>
  <si>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</si>
  <si>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</si>
  <si>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</si>
  <si>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</si>
  <si>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</si>
  <si>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</si>
  <si>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</si>
  <si>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</si>
  <si>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</si>
  <si>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</si>
  <si>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</si>
  <si>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</si>
  <si>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</si>
  <si>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</si>
  <si>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</si>
  <si>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</si>
  <si>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</si>
  <si>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</si>
  <si>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</si>
  <si>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</si>
  <si>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</si>
  <si>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</si>
  <si>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</si>
  <si>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</si>
  <si>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</si>
  <si>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</si>
  <si>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</si>
  <si>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</si>
  <si>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</si>
  <si>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</si>
  <si>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</si>
  <si>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</si>
  <si>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</si>
  <si>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</si>
  <si>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</si>
  <si>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</si>
  <si>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</si>
  <si>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</si>
  <si>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</si>
  <si>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</si>
  <si>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</si>
  <si>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</si>
  <si>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</si>
  <si>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</si>
  <si>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</si>
  <si>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</si>
  <si>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</si>
  <si>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</si>
  <si>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</si>
  <si>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</si>
  <si>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</si>
  <si>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</si>
  <si>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</si>
  <si>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</si>
  <si>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</si>
  <si>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</si>
  <si>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</si>
  <si>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</si>
  <si>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</si>
  <si>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</si>
  <si>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</si>
  <si>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</si>
  <si>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</si>
  <si>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</si>
  <si>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</si>
  <si>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</si>
  <si>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</si>
  <si>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</si>
  <si>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</si>
  <si>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</si>
  <si>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</si>
  <si>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</si>
  <si>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</si>
  <si>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</si>
  <si>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</si>
  <si>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</si>
  <si>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</si>
  <si>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</si>
  <si>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</si>
  <si>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</si>
  <si>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</si>
  <si>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</si>
  <si>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</si>
  <si>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</si>
  <si>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</si>
  <si>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</si>
  <si>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</si>
  <si>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</si>
  <si>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</si>
  <si>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</si>
  <si>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</si>
  <si>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</si>
  <si>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</si>
  <si>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</si>
  <si>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</si>
  <si>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</si>
  <si>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</si>
  <si>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</si>
  <si>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</si>
  <si>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</si>
  <si>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</si>
  <si>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</si>
  <si>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</si>
  <si>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</si>
  <si>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</si>
  <si>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</si>
  <si>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</si>
  <si>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</si>
  <si>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</si>
  <si>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</si>
  <si>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</si>
  <si>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</si>
  <si>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</si>
  <si>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</si>
  <si>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</si>
  <si>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</si>
  <si>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</si>
  <si>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</si>
  <si>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</si>
  <si>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</si>
  <si>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</si>
  <si>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</si>
  <si>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</si>
  <si>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</si>
  <si>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</si>
  <si>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</si>
  <si>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</si>
  <si>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</si>
  <si>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</si>
  <si>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</si>
  <si>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</si>
  <si>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</si>
  <si>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</si>
  <si>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</si>
  <si>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</si>
  <si>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</si>
  <si>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</si>
  <si>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</si>
  <si>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</si>
  <si>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</si>
  <si>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</si>
  <si>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</si>
  <si>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</si>
  <si>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</si>
  <si>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</si>
  <si>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</si>
  <si>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</si>
  <si>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</si>
  <si>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</si>
  <si>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</si>
  <si>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</si>
  <si>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</si>
  <si>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</si>
  <si>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</si>
  <si>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</si>
  <si>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</si>
  <si>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</si>
  <si>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</si>
  <si>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</si>
  <si>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</si>
  <si>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</si>
  <si>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</si>
  <si>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</si>
  <si>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</si>
  <si>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</si>
  <si>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</si>
  <si>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</si>
  <si>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</si>
  <si>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</si>
  <si>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</si>
  <si>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</si>
  <si>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</si>
  <si>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</si>
  <si>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</si>
  <si>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</si>
  <si>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</si>
  <si>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</si>
  <si>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</si>
  <si>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</si>
  <si>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</si>
  <si>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</si>
  <si>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</si>
  <si>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</si>
  <si>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</si>
  <si>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</si>
  <si>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</si>
  <si>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</si>
  <si>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</si>
  <si>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</si>
  <si>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</si>
  <si>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</si>
  <si>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</si>
  <si>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</si>
  <si>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</si>
  <si>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</si>
  <si>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</si>
  <si>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</si>
  <si>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</si>
  <si>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</si>
  <si>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</si>
  <si>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</si>
  <si>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</si>
  <si>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</si>
  <si>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</si>
  <si>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</si>
  <si>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</si>
  <si>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</si>
  <si>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</si>
  <si>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</si>
  <si>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</si>
  <si>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</si>
  <si>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</si>
  <si>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</si>
  <si>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</si>
  <si>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</si>
  <si>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</si>
  <si>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</si>
  <si>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</si>
  <si>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</si>
  <si>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</si>
  <si>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</si>
  <si>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</si>
  <si>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</si>
  <si>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</si>
  <si>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</si>
  <si>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</si>
  <si>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</si>
  <si>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</si>
  <si>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</si>
  <si>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</si>
  <si>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</si>
  <si>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</si>
  <si>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</si>
  <si>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</si>
  <si>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</si>
  <si>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</si>
  <si>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</si>
  <si>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</si>
  <si>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</si>
  <si>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</si>
  <si>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</si>
  <si>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</si>
  <si>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</si>
  <si>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</si>
  <si>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</si>
  <si>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</si>
  <si>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</si>
  <si>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</si>
  <si>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</si>
  <si>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</si>
  <si>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</si>
  <si>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</si>
  <si>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</si>
  <si>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</si>
  <si>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</si>
  <si>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</si>
  <si>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</si>
  <si>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</si>
  <si>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</si>
  <si>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</si>
  <si>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</si>
  <si>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</si>
  <si>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</si>
  <si>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</si>
  <si>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</si>
  <si>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</si>
  <si>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</si>
  <si>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</si>
  <si>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</si>
  <si>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</si>
  <si>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</si>
  <si>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</si>
  <si>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</si>
  <si>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</si>
  <si>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</si>
  <si>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</si>
  <si>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</si>
  <si>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</si>
  <si>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</si>
  <si>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</si>
  <si>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</si>
  <si>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</si>
  <si>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</si>
  <si>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</si>
  <si>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</si>
  <si>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</si>
  <si>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</si>
  <si>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</si>
  <si>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</si>
  <si>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</si>
  <si>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</si>
  <si>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</si>
  <si>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</si>
  <si>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</si>
  <si>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</si>
  <si>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</si>
  <si>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</si>
  <si>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</si>
  <si>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</si>
  <si>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</si>
  <si>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</si>
  <si>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</si>
  <si>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</si>
  <si>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</si>
  <si>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</si>
  <si>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</si>
  <si>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</si>
  <si>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</si>
  <si>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</si>
  <si>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</si>
  <si>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</si>
  <si>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</si>
  <si>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</si>
  <si>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</si>
  <si>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</si>
  <si>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</si>
  <si>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</si>
  <si>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</si>
  <si>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</si>
  <si>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</si>
  <si>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</si>
  <si>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</si>
  <si>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</si>
  <si>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</si>
  <si>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</si>
  <si>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</si>
  <si>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</si>
  <si>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</si>
  <si>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</si>
  <si>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</si>
  <si>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</si>
  <si>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</si>
  <si>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</si>
  <si>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</si>
  <si>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</si>
  <si>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</si>
  <si>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</si>
  <si>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</si>
  <si>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</si>
  <si>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</si>
  <si>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</si>
  <si>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</si>
  <si>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</si>
  <si>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</si>
  <si>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</si>
  <si>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</si>
  <si>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</si>
  <si>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</si>
  <si>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</si>
  <si>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</si>
  <si>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</si>
  <si>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</si>
  <si>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</si>
  <si>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</si>
  <si>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</si>
  <si>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</si>
  <si>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</si>
  <si>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</si>
  <si>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</si>
  <si>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</si>
  <si>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</si>
  <si>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</si>
  <si>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</si>
  <si>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</si>
  <si>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</si>
  <si>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</si>
  <si>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</si>
  <si>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</si>
  <si>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</si>
  <si>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</si>
  <si>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</si>
  <si>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</si>
  <si>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</si>
  <si>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</si>
  <si>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</si>
  <si>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</si>
  <si>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</si>
  <si>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</si>
  <si>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</si>
  <si>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</si>
  <si>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</si>
  <si>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</si>
  <si>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</si>
  <si>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</si>
  <si>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</si>
  <si>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</si>
  <si>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</si>
  <si>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</si>
  <si>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</si>
  <si>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</si>
  <si>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</si>
  <si>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</si>
  <si>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</si>
  <si>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</si>
  <si>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</si>
  <si>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</si>
  <si>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</si>
  <si>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</si>
  <si>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</si>
  <si>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</si>
  <si>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</si>
  <si>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</si>
  <si>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</si>
  <si>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</si>
  <si>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</si>
  <si>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</si>
  <si>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</si>
  <si>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</si>
  <si>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</si>
  <si>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</si>
  <si>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</si>
  <si>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</si>
  <si>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</si>
  <si>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</si>
  <si>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</si>
  <si>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</si>
  <si>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</si>
  <si>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</si>
  <si>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</si>
  <si>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</si>
  <si>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</si>
  <si>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</si>
  <si>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</si>
  <si>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</si>
  <si>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</si>
  <si>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</si>
  <si>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</si>
  <si>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</si>
  <si>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</si>
  <si>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</si>
  <si>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</si>
  <si>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</si>
  <si>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</si>
  <si>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</si>
  <si>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</si>
  <si>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</si>
  <si>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</si>
  <si>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</si>
  <si>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</si>
  <si>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</si>
  <si>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</si>
  <si>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</si>
  <si>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</si>
  <si>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</si>
  <si>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</si>
  <si>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</si>
  <si>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</si>
  <si>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</si>
  <si>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</si>
  <si>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</si>
  <si>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</si>
  <si>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</si>
  <si>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</si>
  <si>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</si>
  <si>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</si>
  <si>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</si>
  <si>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</si>
  <si>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</si>
  <si>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</si>
  <si>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</si>
  <si>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</si>
  <si>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</si>
  <si>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</si>
  <si>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</si>
  <si>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</si>
  <si>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</si>
  <si>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</si>
  <si>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</si>
  <si>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</si>
  <si>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</si>
  <si>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</si>
  <si>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</si>
  <si>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</si>
  <si>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</si>
  <si>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</si>
  <si>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</si>
  <si>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</si>
  <si>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</si>
  <si>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</si>
  <si>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</si>
  <si>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</si>
  <si>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</si>
  <si>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</si>
  <si>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</si>
  <si>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</si>
  <si>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</si>
  <si>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</si>
  <si>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</si>
  <si>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</si>
  <si>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</si>
  <si>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</si>
  <si>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</si>
  <si>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</si>
  <si>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</si>
  <si>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</si>
  <si>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</si>
  <si>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</si>
  <si>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</si>
  <si>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</si>
  <si>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</si>
  <si>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</si>
  <si>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</si>
  <si>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</si>
  <si>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</si>
  <si>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</si>
  <si>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</si>
  <si>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</si>
  <si>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</si>
  <si>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</si>
  <si>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</si>
  <si>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</si>
  <si>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</si>
  <si>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</si>
  <si>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</si>
  <si>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</si>
  <si>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</si>
  <si>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</si>
  <si>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</si>
  <si>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</si>
  <si>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</si>
  <si>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</si>
  <si>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</si>
  <si>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</si>
  <si>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</si>
  <si>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</si>
  <si>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</si>
  <si>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</si>
  <si>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</si>
  <si>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</si>
  <si>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</si>
  <si>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</si>
  <si>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</si>
  <si>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</si>
  <si>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</si>
  <si>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</si>
  <si>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</si>
  <si>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</si>
  <si>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</si>
  <si>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</si>
  <si>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</si>
  <si>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</si>
  <si>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</si>
  <si>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</si>
  <si>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</si>
  <si>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</si>
  <si>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</si>
  <si>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</si>
  <si>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</si>
  <si>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</si>
  <si>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</si>
  <si>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</si>
  <si>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</si>
  <si>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</si>
  <si>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</si>
  <si>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</si>
  <si>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</si>
  <si>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</si>
  <si>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</si>
  <si>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</si>
  <si>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</si>
  <si>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</si>
  <si>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</si>
  <si>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</si>
  <si>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</si>
  <si>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</si>
  <si>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</si>
  <si>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</si>
  <si>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</si>
  <si>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</si>
  <si>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</si>
  <si>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</si>
  <si>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</si>
  <si>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</si>
  <si>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</si>
  <si>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</si>
  <si>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</si>
  <si>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</si>
  <si>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</si>
  <si>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</si>
  <si>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</si>
  <si>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</si>
  <si>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</si>
  <si>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</si>
  <si>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</si>
  <si>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</si>
  <si>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</si>
  <si>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</si>
  <si>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</si>
  <si>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</si>
  <si>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</si>
  <si>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</si>
  <si>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</si>
  <si>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</si>
  <si>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</si>
  <si>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</si>
  <si>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</si>
  <si>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</si>
  <si>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</si>
  <si>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</si>
  <si>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</si>
  <si>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</si>
  <si>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</si>
  <si>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</si>
  <si>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</si>
  <si>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</si>
  <si>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</si>
  <si>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</si>
  <si>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</si>
  <si>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</si>
  <si>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</si>
  <si>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</si>
  <si>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</si>
  <si>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</si>
  <si>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</si>
  <si>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</si>
  <si>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</si>
  <si>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</si>
  <si>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</si>
  <si>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</si>
  <si>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</si>
  <si>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</si>
  <si>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</si>
  <si>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</si>
  <si>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</si>
  <si>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</si>
  <si>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</si>
  <si>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</si>
  <si>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</si>
  <si>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</si>
  <si>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</si>
  <si>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</si>
  <si>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</si>
  <si>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</si>
  <si>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</si>
  <si>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</si>
  <si>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</si>
  <si>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</si>
  <si>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</si>
  <si>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</si>
  <si>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</si>
  <si>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</si>
  <si>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</si>
  <si>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</si>
  <si>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</si>
  <si>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</si>
  <si>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</si>
  <si>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</si>
  <si>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</si>
  <si>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</si>
  <si>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</si>
  <si>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</si>
  <si>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</si>
  <si>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</si>
  <si>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</si>
  <si>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</si>
  <si>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</si>
  <si>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</si>
  <si>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</si>
  <si>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</si>
  <si>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</si>
  <si>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</si>
  <si>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</si>
  <si>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</si>
  <si>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</si>
  <si>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</si>
  <si>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</si>
  <si>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</si>
  <si>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</si>
  <si>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</si>
  <si>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</si>
  <si>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</si>
  <si>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</si>
  <si>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</si>
  <si>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</si>
  <si>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</si>
  <si>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</si>
  <si>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</si>
  <si>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</si>
  <si>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</si>
  <si>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</si>
  <si>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</si>
  <si>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</si>
  <si>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</si>
  <si>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</si>
  <si>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</si>
  <si>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</si>
  <si>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</si>
  <si>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</si>
  <si>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</si>
  <si>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</si>
  <si>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</si>
  <si>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</si>
  <si>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</si>
  <si>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</si>
  <si>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</si>
  <si>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</si>
  <si>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</si>
  <si>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</si>
  <si>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</si>
  <si>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</si>
  <si>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</si>
  <si>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</si>
  <si>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</si>
  <si>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</si>
  <si>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</si>
  <si>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</si>
  <si>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</si>
  <si>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</si>
  <si>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</si>
  <si>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</si>
  <si>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</si>
  <si>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</si>
  <si>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</si>
  <si>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</si>
  <si>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</si>
  <si>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</si>
  <si>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</si>
  <si>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</si>
  <si>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</si>
  <si>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</si>
  <si>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</si>
  <si>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</si>
  <si>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</si>
  <si>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</si>
  <si>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</si>
  <si>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</si>
  <si>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</si>
  <si>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</si>
  <si>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</si>
  <si>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</si>
  <si>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</si>
  <si>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</si>
  <si>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</si>
  <si>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</si>
  <si>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</si>
  <si>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</si>
  <si>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</si>
  <si>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</si>
  <si>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</si>
  <si>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</si>
  <si>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</si>
  <si>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</si>
  <si>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</si>
  <si>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</si>
  <si>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</si>
  <si>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</si>
  <si>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</si>
  <si>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</si>
  <si>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</si>
  <si>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</si>
  <si>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</si>
  <si>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</si>
  <si>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</si>
  <si>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</si>
  <si>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</si>
  <si>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</si>
  <si>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</si>
  <si>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</si>
  <si>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</si>
  <si>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</si>
  <si>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</si>
  <si>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</si>
  <si>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</si>
  <si>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</si>
  <si>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</si>
  <si>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</si>
  <si>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</si>
  <si>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</si>
  <si>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</si>
  <si>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</si>
  <si>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</si>
  <si>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</si>
  <si>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</si>
  <si>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</si>
  <si>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</si>
  <si>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</si>
  <si>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</si>
  <si>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</si>
  <si>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</si>
  <si>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</si>
  <si>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</si>
  <si>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</si>
  <si>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</si>
  <si>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</si>
  <si>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</si>
  <si>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</si>
  <si>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</si>
  <si>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</si>
  <si>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</si>
  <si>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</si>
  <si>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</si>
  <si>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</si>
  <si>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</si>
  <si>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</si>
  <si>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</si>
  <si>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</si>
  <si>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</si>
  <si>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</si>
  <si>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</si>
  <si>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</si>
  <si>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</si>
  <si>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</si>
  <si>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</si>
  <si>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</si>
  <si>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</si>
  <si>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</si>
  <si>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</si>
  <si>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</si>
  <si>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</si>
  <si>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</si>
  <si>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</si>
  <si>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</si>
  <si>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</si>
  <si>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</si>
  <si>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</si>
  <si>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</si>
  <si>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</si>
  <si>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</si>
  <si>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</si>
  <si>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</si>
  <si>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</si>
  <si>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</si>
  <si>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</si>
  <si>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</si>
  <si>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</si>
  <si>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</si>
  <si>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</si>
  <si>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</si>
  <si>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</si>
  <si>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</si>
  <si>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</si>
  <si>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</si>
  <si>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</si>
  <si>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</si>
  <si>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</si>
  <si>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</si>
  <si>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</si>
  <si>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</si>
  <si>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</si>
  <si>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</si>
  <si>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</si>
  <si>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</si>
  <si>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</si>
  <si>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</si>
  <si>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</si>
  <si>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</si>
  <si>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</si>
  <si>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</si>
  <si>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</si>
  <si>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</si>
  <si>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</si>
  <si>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</si>
  <si>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</si>
  <si>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</si>
  <si>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</si>
  <si>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</si>
  <si>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</si>
  <si>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</si>
  <si>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</si>
  <si>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</si>
  <si>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</si>
  <si>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</si>
  <si>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</si>
  <si>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</si>
  <si>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</si>
  <si>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</si>
  <si>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</si>
  <si>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</si>
  <si>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</si>
  <si>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</si>
  <si>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</si>
  <si>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</si>
  <si>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</si>
  <si>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</si>
  <si>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</si>
  <si>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</si>
  <si>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</si>
  <si>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</si>
  <si>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</si>
  <si>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</si>
  <si>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</si>
  <si>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</si>
  <si>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</si>
  <si>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</si>
  <si>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</si>
  <si>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</si>
  <si>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</si>
  <si>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</si>
  <si>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</si>
  <si>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</si>
  <si>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</si>
  <si>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</si>
  <si>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</si>
  <si>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</si>
  <si>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</si>
  <si>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</si>
  <si>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</si>
  <si>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</si>
  <si>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</si>
  <si>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</si>
  <si>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</si>
  <si>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</si>
  <si>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</si>
  <si>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</si>
  <si>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</si>
  <si>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</si>
  <si>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</si>
  <si>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</si>
  <si>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</si>
  <si>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</si>
  <si>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</si>
  <si>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</si>
  <si>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</si>
  <si>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</si>
  <si>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</si>
  <si>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</si>
  <si>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</si>
  <si>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</si>
  <si>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</si>
  <si>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</si>
  <si>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</si>
  <si>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</si>
  <si>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</si>
  <si>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</si>
  <si>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</si>
  <si>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</si>
  <si>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</si>
  <si>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</si>
  <si>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</si>
  <si>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</si>
  <si>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</si>
  <si>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</si>
  <si>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</si>
  <si>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</si>
  <si>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</si>
  <si>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</si>
  <si>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</si>
  <si>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</si>
  <si>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</si>
  <si>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</si>
  <si>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</si>
  <si>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</si>
  <si>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</si>
  <si>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</si>
  <si>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</si>
  <si>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</si>
  <si>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</si>
  <si>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</si>
  <si>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</si>
  <si>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</si>
  <si>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</si>
  <si>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</si>
  <si>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</si>
  <si>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</si>
  <si>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</si>
  <si>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</si>
  <si>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</si>
  <si>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</si>
  <si>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</si>
  <si>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</si>
  <si>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</si>
  <si>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</si>
  <si>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</si>
  <si>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</si>
  <si>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</si>
  <si>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</si>
  <si>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</si>
  <si>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</si>
  <si>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</si>
  <si>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</si>
  <si>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</si>
  <si>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</si>
  <si>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</si>
  <si>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</si>
  <si>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</si>
  <si>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</si>
  <si>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</si>
  <si>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</si>
  <si>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</si>
  <si>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</si>
  <si>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</si>
  <si>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</si>
  <si>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</si>
  <si>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</si>
  <si>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</si>
  <si>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</si>
  <si>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</si>
  <si>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</si>
  <si>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</si>
  <si>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</si>
  <si>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</si>
  <si>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</si>
  <si>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</si>
  <si>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</si>
  <si>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</si>
  <si>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</si>
  <si>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</si>
  <si>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</si>
  <si>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</si>
  <si>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</si>
  <si>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</si>
  <si>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</si>
  <si>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</si>
  <si>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</si>
  <si>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</si>
  <si>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</si>
  <si>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</si>
  <si>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</si>
  <si>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</si>
  <si>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</si>
  <si>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</si>
  <si>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</si>
  <si>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</si>
  <si>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</si>
  <si>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</si>
  <si>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</si>
  <si>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</si>
  <si>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</si>
  <si>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</si>
  <si>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</si>
  <si>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</si>
  <si>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</si>
  <si>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</si>
  <si>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</si>
  <si>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</si>
  <si>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</si>
  <si>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</si>
  <si>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</si>
  <si>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</si>
  <si>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</si>
  <si>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</si>
  <si>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</si>
  <si>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</si>
  <si>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</si>
  <si>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</si>
  <si>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</si>
  <si>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</si>
  <si>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</si>
  <si>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</si>
  <si>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</si>
  <si>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</si>
  <si>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</si>
  <si>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</si>
  <si>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</si>
  <si>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</si>
  <si>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</si>
  <si>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</si>
  <si>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</si>
  <si>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</si>
  <si>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</si>
  <si>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</si>
  <si>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</si>
  <si>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</si>
  <si>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</si>
  <si>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</si>
  <si>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</si>
  <si>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</si>
  <si>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</si>
  <si>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</si>
  <si>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</si>
  <si>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</si>
  <si>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</si>
  <si>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</si>
  <si>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</si>
  <si>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</si>
  <si>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</si>
  <si>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</si>
  <si>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</si>
  <si>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</si>
  <si>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</si>
  <si>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</si>
  <si>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</si>
  <si>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</si>
  <si>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</si>
  <si>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</si>
  <si>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</si>
  <si>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</si>
  <si>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</si>
  <si>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</si>
  <si>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</si>
  <si>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</si>
  <si>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</si>
  <si>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</si>
  <si>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</si>
  <si>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</si>
  <si>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</si>
  <si>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</si>
  <si>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</si>
  <si>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</si>
  <si>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</si>
  <si>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</si>
  <si>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</si>
  <si>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</si>
  <si>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</si>
  <si>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</si>
  <si>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</si>
  <si>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</si>
  <si>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</si>
  <si>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</si>
  <si>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</si>
  <si>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</si>
  <si>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</si>
  <si>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</si>
  <si>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</si>
  <si>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</si>
  <si>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</si>
  <si>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</si>
  <si>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</si>
  <si>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</si>
  <si>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</si>
  <si>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</si>
  <si>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</si>
  <si>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</si>
  <si>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</si>
  <si>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</si>
  <si>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</si>
  <si>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</si>
  <si>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</si>
  <si>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</si>
  <si>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</si>
  <si>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</si>
  <si>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</si>
  <si>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</si>
  <si>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</si>
  <si>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</si>
  <si>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</si>
  <si>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</si>
  <si>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</si>
  <si>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</si>
  <si>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</si>
  <si>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</si>
  <si>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</si>
  <si>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</si>
  <si>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</si>
  <si>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</si>
  <si>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</si>
  <si>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</si>
  <si>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</si>
  <si>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</si>
  <si>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</si>
  <si>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</si>
  <si>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</si>
  <si>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</si>
  <si>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</si>
  <si>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</si>
  <si>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</si>
  <si>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</si>
  <si>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</si>
  <si>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</si>
  <si>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</si>
  <si>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</si>
  <si>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</si>
  <si>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</si>
  <si>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</si>
  <si>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</si>
  <si>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</si>
  <si>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</si>
  <si>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</si>
  <si>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</si>
  <si>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</si>
  <si>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</si>
  <si>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</si>
  <si>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</si>
  <si>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</si>
  <si>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</si>
  <si>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</si>
  <si>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</si>
  <si>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</si>
  <si>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</si>
  <si>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</si>
  <si>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</si>
  <si>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</si>
  <si>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</si>
  <si>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</si>
  <si>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</si>
  <si>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</si>
  <si>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</si>
  <si>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</si>
  <si>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</si>
  <si>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</si>
  <si>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</si>
  <si>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</si>
  <si>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</si>
  <si>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</si>
  <si>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</si>
  <si>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</si>
  <si>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</si>
  <si>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</si>
  <si>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</si>
  <si>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</si>
  <si>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</si>
  <si>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</si>
  <si>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</si>
  <si>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</si>
  <si>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</si>
  <si>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</si>
  <si>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</si>
  <si>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</si>
  <si>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</si>
  <si>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</si>
  <si>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</si>
  <si>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</si>
  <si>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</si>
  <si>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</si>
  <si>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</si>
  <si>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</si>
  <si>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</si>
  <si>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</si>
  <si>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</si>
  <si>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</si>
  <si>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</si>
  <si>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</si>
  <si>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</si>
  <si>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</si>
  <si>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</si>
  <si>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</si>
  <si>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</si>
  <si>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</si>
  <si>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</si>
  <si>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</si>
  <si>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</si>
  <si>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</si>
  <si>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</si>
  <si>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</si>
  <si>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</si>
  <si>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</si>
  <si>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</si>
  <si>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</si>
  <si>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</si>
  <si>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</si>
  <si>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</si>
  <si>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</si>
  <si>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</si>
  <si>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</si>
  <si>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</si>
  <si>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</si>
  <si>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</si>
  <si>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</si>
  <si>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</si>
  <si>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</si>
  <si>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</si>
  <si>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</si>
  <si>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</si>
  <si>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</si>
  <si>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</si>
  <si>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</si>
  <si>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</si>
  <si>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</si>
  <si>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</si>
  <si>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</si>
  <si>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</si>
  <si>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</si>
  <si>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</si>
  <si>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</si>
  <si>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</si>
  <si>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</si>
  <si>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</si>
  <si>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</si>
  <si>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</si>
  <si>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</si>
  <si>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</si>
  <si>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</si>
  <si>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</si>
  <si>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</si>
  <si>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</si>
  <si>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</si>
  <si>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</si>
  <si>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</si>
  <si>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</si>
  <si>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</si>
  <si>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</si>
  <si>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</si>
  <si>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</si>
  <si>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</si>
  <si>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</si>
  <si>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</si>
  <si>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</si>
  <si>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</si>
  <si>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</si>
  <si>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</si>
  <si>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</si>
  <si>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</si>
  <si>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</si>
  <si>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</si>
  <si>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</si>
  <si>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</si>
  <si>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</si>
  <si>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</si>
  <si>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</si>
  <si>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</si>
  <si>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</si>
  <si>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</si>
  <si>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</si>
  <si>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</si>
  <si>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</si>
  <si>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</si>
  <si>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</si>
  <si>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</si>
  <si>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</si>
  <si>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</si>
  <si>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</si>
  <si>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</si>
  <si>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</si>
  <si>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</si>
  <si>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</si>
  <si>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</si>
  <si>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</si>
  <si>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</si>
  <si>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</si>
  <si>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</si>
  <si>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</si>
  <si>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</si>
  <si>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</si>
  <si>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</si>
  <si>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</si>
  <si>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</si>
  <si>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</si>
  <si>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</si>
  <si>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</si>
  <si>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</si>
  <si>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</si>
  <si>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</si>
  <si>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</si>
  <si>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</si>
  <si>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</si>
  <si>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</si>
  <si>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</si>
  <si>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</si>
  <si>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</si>
  <si>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</si>
  <si>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</si>
  <si>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</si>
  <si>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</si>
  <si>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</si>
  <si>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</si>
  <si>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</si>
  <si>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</si>
  <si>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</si>
  <si>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</si>
  <si>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</si>
  <si>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</si>
  <si>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</si>
  <si>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</si>
  <si>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</si>
  <si>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</si>
  <si>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</si>
  <si>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</si>
  <si>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</si>
  <si>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</si>
  <si>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</si>
  <si>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</si>
  <si>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</si>
  <si>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</si>
  <si>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</si>
  <si>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</si>
  <si>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</si>
  <si>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</si>
  <si>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</si>
  <si>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</si>
  <si>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</si>
  <si>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</si>
  <si>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</si>
  <si>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</si>
  <si>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</si>
  <si>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</si>
  <si>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</si>
  <si>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</si>
  <si>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</si>
  <si>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</si>
  <si>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</si>
  <si>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</si>
  <si>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</si>
  <si>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</si>
  <si>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</si>
  <si>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</si>
  <si>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</si>
  <si>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</si>
  <si>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</si>
  <si>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</si>
  <si>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</si>
  <si>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</si>
  <si>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</si>
  <si>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</si>
  <si>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</si>
  <si>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</si>
  <si>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</si>
  <si>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</si>
  <si>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</si>
  <si>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</si>
  <si>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</si>
  <si>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</si>
  <si>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</si>
  <si>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</si>
  <si>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</si>
  <si>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</si>
  <si>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</si>
  <si>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</si>
  <si>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</si>
  <si>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</si>
  <si>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</si>
  <si>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</si>
  <si>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</si>
  <si>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</si>
  <si>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</si>
  <si>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</si>
  <si>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</si>
  <si>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</si>
  <si>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</si>
  <si>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</si>
  <si>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</si>
  <si>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</si>
  <si>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</si>
  <si>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</si>
  <si>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</si>
  <si>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</si>
  <si>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</si>
  <si>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</si>
  <si>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</si>
  <si>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</si>
  <si>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</si>
  <si>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</si>
  <si>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</si>
  <si>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</si>
  <si>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</si>
  <si>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</si>
  <si>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</si>
  <si>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</si>
  <si>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</si>
  <si>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</si>
  <si>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</si>
  <si>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</si>
  <si>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</si>
  <si>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</si>
  <si>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</si>
  <si>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</si>
  <si>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</si>
  <si>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</si>
  <si>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</si>
  <si>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</si>
  <si>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</si>
  <si>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</si>
  <si>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</si>
  <si>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</si>
  <si>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</si>
  <si>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</si>
  <si>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</si>
  <si>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</si>
  <si>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</si>
  <si>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</si>
  <si>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</si>
  <si>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</si>
  <si>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</si>
  <si>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</si>
  <si>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</si>
  <si>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</si>
  <si>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</si>
  <si>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</si>
  <si>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</si>
  <si>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</si>
  <si>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</si>
  <si>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</si>
  <si>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</si>
  <si>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</si>
  <si>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</si>
  <si>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</si>
  <si>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</si>
  <si>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</si>
  <si>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</si>
  <si>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</si>
  <si>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</si>
  <si>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</si>
  <si>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</si>
  <si>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</si>
  <si>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</si>
  <si>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</si>
  <si>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</si>
  <si>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</si>
  <si>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</si>
  <si>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</si>
  <si>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</si>
  <si>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</si>
  <si>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</si>
  <si>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</si>
  <si>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</si>
  <si>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</si>
  <si>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</si>
  <si>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</si>
  <si>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</si>
  <si>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</si>
  <si>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</si>
  <si>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</si>
  <si>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</si>
  <si>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</si>
  <si>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</si>
  <si>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</si>
  <si>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</si>
  <si>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</si>
  <si>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</si>
  <si>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</si>
  <si>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</si>
  <si>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</si>
  <si>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</si>
  <si>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</si>
  <si>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</si>
  <si>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</si>
  <si>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</si>
  <si>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</si>
  <si>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</si>
  <si>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</si>
  <si>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</si>
  <si>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</si>
  <si>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</si>
  <si>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</si>
  <si>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</si>
  <si>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</si>
  <si>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</si>
  <si>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</si>
  <si>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</si>
  <si>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</si>
  <si>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</si>
  <si>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</si>
  <si>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</si>
  <si>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</si>
  <si>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</si>
  <si>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</si>
  <si>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</si>
  <si>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</si>
  <si>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</si>
  <si>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</si>
  <si>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</si>
  <si>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</si>
  <si>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</si>
  <si>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</si>
  <si>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</si>
  <si>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</si>
  <si>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</si>
  <si>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</si>
  <si>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</si>
  <si>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</si>
  <si>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</si>
  <si>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</si>
  <si>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</si>
  <si>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</si>
  <si>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</si>
  <si>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</si>
  <si>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</si>
  <si>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</si>
  <si>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</si>
  <si>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</si>
  <si>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</si>
  <si>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</si>
  <si>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</si>
  <si>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</si>
  <si>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</si>
  <si>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</si>
  <si>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</si>
  <si>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</si>
  <si>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</si>
  <si>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</si>
  <si>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</si>
  <si>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</si>
  <si>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</si>
  <si>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</si>
  <si>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</si>
  <si>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</si>
  <si>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</si>
  <si>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</si>
  <si>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</si>
  <si>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</si>
  <si>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</si>
  <si>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</si>
  <si>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</si>
  <si>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</si>
  <si>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</si>
  <si>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</si>
  <si>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</si>
  <si>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</si>
  <si>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</si>
  <si>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</si>
  <si>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</si>
  <si>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</si>
  <si>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</si>
  <si>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</si>
  <si>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</si>
  <si>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</si>
  <si>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</si>
  <si>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</si>
  <si>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</si>
  <si>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</si>
  <si>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</si>
  <si>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</si>
  <si>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</si>
  <si>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</si>
  <si>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</si>
  <si>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</si>
  <si>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</si>
  <si>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</si>
  <si>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</si>
  <si>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</si>
  <si>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</si>
  <si>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</si>
  <si>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</si>
  <si>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</si>
  <si>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</si>
  <si>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</si>
  <si>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</si>
  <si>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</si>
  <si>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</si>
  <si>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</si>
  <si>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</si>
  <si>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</si>
  <si>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</si>
  <si>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</si>
  <si>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</si>
  <si>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</si>
  <si>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</si>
  <si>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</si>
  <si>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</si>
  <si>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</si>
  <si>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</si>
  <si>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</si>
  <si>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</si>
  <si>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</si>
  <si>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</si>
  <si>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</si>
  <si>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</si>
  <si>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</si>
  <si>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</si>
  <si>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</si>
  <si>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</si>
  <si>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</si>
  <si>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</si>
  <si>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</si>
  <si>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</si>
  <si>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</si>
  <si>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</si>
  <si>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</si>
  <si>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</si>
  <si>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</si>
  <si>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</si>
  <si>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</si>
  <si>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</si>
  <si>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</si>
  <si>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</si>
  <si>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</si>
  <si>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</si>
  <si>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</si>
  <si>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</si>
  <si>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</si>
  <si>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</si>
  <si>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</si>
  <si>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</si>
  <si>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</si>
  <si>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</si>
  <si>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</si>
  <si>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</si>
  <si>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</si>
  <si>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</si>
  <si>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</si>
  <si>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</si>
  <si>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</si>
  <si>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</si>
  <si>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</si>
  <si>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</si>
  <si>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</si>
  <si>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</si>
  <si>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</si>
  <si>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</si>
  <si>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</si>
  <si>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</si>
  <si>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</si>
  <si>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</si>
  <si>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</si>
  <si>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</si>
  <si>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</si>
  <si>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</si>
  <si>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</si>
  <si>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</si>
  <si>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</si>
  <si>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</si>
  <si>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</si>
  <si>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</si>
  <si>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</si>
  <si>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</si>
  <si>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</si>
  <si>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</si>
  <si>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</si>
  <si>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</si>
  <si>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</si>
  <si>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</si>
  <si>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</si>
  <si>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</si>
  <si>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</si>
  <si>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</si>
  <si>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</si>
  <si>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</si>
  <si>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</si>
  <si>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</si>
  <si>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</si>
  <si>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</si>
  <si>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</si>
  <si>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</si>
  <si>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</si>
  <si>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</si>
  <si>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</si>
  <si>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</si>
  <si>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</si>
  <si>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</si>
  <si>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</si>
  <si>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</si>
  <si>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</si>
  <si>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</si>
  <si>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</si>
  <si>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</si>
  <si>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</si>
  <si>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</si>
  <si>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</si>
  <si>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</si>
  <si>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</si>
  <si>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</si>
  <si>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</si>
  <si>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</si>
  <si>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</si>
  <si>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</si>
  <si>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</si>
  <si>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</si>
  <si>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</si>
  <si>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</si>
  <si>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</si>
  <si>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</si>
  <si>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</si>
  <si>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</si>
  <si>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</si>
  <si>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</si>
  <si>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</si>
  <si>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</si>
  <si>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</si>
  <si>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</si>
  <si>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</si>
  <si>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</si>
  <si>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</si>
  <si>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</si>
  <si>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</si>
  <si>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</si>
  <si>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</si>
  <si>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</si>
  <si>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</si>
  <si>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</si>
  <si>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</si>
  <si>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</si>
  <si>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</si>
  <si>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</si>
  <si>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</si>
  <si>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</si>
  <si>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</si>
  <si>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</si>
  <si>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</si>
  <si>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</si>
  <si>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</si>
  <si>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</si>
  <si>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</si>
  <si>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</si>
  <si>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</si>
  <si>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</si>
  <si>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</si>
  <si>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</si>
  <si>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</si>
  <si>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</si>
  <si>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</si>
  <si>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</si>
  <si>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</si>
  <si>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</si>
  <si>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</si>
  <si>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</si>
  <si>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</si>
  <si>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</si>
  <si>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</si>
  <si>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</si>
  <si>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</si>
  <si>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</si>
  <si>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</si>
  <si>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</si>
  <si>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</si>
  <si>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</si>
  <si>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</si>
  <si>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</si>
  <si>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</si>
  <si>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</si>
  <si>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</si>
  <si>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</si>
  <si>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</si>
  <si>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</si>
  <si>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</si>
  <si>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</si>
  <si>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</si>
  <si>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</si>
  <si>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</si>
  <si>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</si>
  <si>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</si>
  <si>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</si>
  <si>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</si>
  <si>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</si>
  <si>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</si>
  <si>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</si>
  <si>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</si>
  <si>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</si>
  <si>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</si>
  <si>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</si>
  <si>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</si>
  <si>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</si>
  <si>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</si>
  <si>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</si>
  <si>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</si>
  <si>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</si>
  <si>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</si>
  <si>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</si>
  <si>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</si>
  <si>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</si>
  <si>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</si>
  <si>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</si>
  <si>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</si>
  <si>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</si>
  <si>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</si>
  <si>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</si>
  <si>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</si>
  <si>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</si>
  <si>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</si>
  <si>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</si>
  <si>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</si>
  <si>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</si>
  <si>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</si>
  <si>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</si>
  <si>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</si>
  <si>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</si>
  <si>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</si>
  <si>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</si>
  <si>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</si>
  <si>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</si>
  <si>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</si>
  <si>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</si>
  <si>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</si>
  <si>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</si>
  <si>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</si>
  <si>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</si>
  <si>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</si>
  <si>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</si>
  <si>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</si>
  <si>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</si>
  <si>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</si>
  <si>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</si>
  <si>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</si>
  <si>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</si>
  <si>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</si>
  <si>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</si>
  <si>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</si>
  <si>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</si>
  <si>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</si>
  <si>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</si>
  <si>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</si>
  <si>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</si>
  <si>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</si>
  <si>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</si>
  <si>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</si>
  <si>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</si>
  <si>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</si>
  <si>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</si>
  <si>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</si>
  <si>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</si>
  <si>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</si>
  <si>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</si>
  <si>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</si>
  <si>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</si>
  <si>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</si>
  <si>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</si>
  <si>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</si>
  <si>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</si>
  <si>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</si>
  <si>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</si>
  <si>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</si>
  <si>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</si>
  <si>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</si>
  <si>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</si>
  <si>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</si>
  <si>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</si>
  <si>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</si>
  <si>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</si>
  <si>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</si>
  <si>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</si>
  <si>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</si>
  <si>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</si>
  <si>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</si>
  <si>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</si>
  <si>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</si>
  <si>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</si>
  <si>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</si>
  <si>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</si>
  <si>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</si>
  <si>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</si>
  <si>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</si>
  <si>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</si>
  <si>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</si>
  <si>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</si>
  <si>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</si>
  <si>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</si>
  <si>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</si>
  <si>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</si>
  <si>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</si>
  <si>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</si>
  <si>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</si>
  <si>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</si>
  <si>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</si>
  <si>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</si>
  <si>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</si>
  <si>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</si>
  <si>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</si>
  <si>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</si>
  <si>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</si>
  <si>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</si>
  <si>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</si>
  <si>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</si>
  <si>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</si>
  <si>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</si>
  <si>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</si>
  <si>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</si>
  <si>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</si>
  <si>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</si>
  <si>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</si>
  <si>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</si>
  <si>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</si>
  <si>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</si>
  <si>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</si>
  <si>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</si>
  <si>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</si>
  <si>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</si>
  <si>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</si>
  <si>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</si>
  <si>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</si>
  <si>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</si>
  <si>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</si>
  <si>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</si>
  <si>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</si>
  <si>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</si>
  <si>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</si>
  <si>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</si>
  <si>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</si>
  <si>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</si>
  <si>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</si>
  <si>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</si>
  <si>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</si>
  <si>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</si>
  <si>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</si>
  <si>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</si>
  <si>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</si>
  <si>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</si>
  <si>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</si>
  <si>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</si>
  <si>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</si>
  <si>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</si>
  <si>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</si>
  <si>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</si>
  <si>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</si>
  <si>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</si>
  <si>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</si>
  <si>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</si>
  <si>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</si>
  <si>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</si>
  <si>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</si>
  <si>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</si>
  <si>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</si>
  <si>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</si>
  <si>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</si>
  <si>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</si>
  <si>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</si>
  <si>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</si>
  <si>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</si>
  <si>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</si>
  <si>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</si>
  <si>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</si>
  <si>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</si>
  <si>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</si>
  <si>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</si>
  <si>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</si>
  <si>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</si>
  <si>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</si>
  <si>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</si>
  <si>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</si>
  <si>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</si>
  <si>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</si>
  <si>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</si>
  <si>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</si>
  <si>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</si>
  <si>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</si>
  <si>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</si>
  <si>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</si>
  <si>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</si>
  <si>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</si>
  <si>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</si>
  <si>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</si>
  <si>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</si>
  <si>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</si>
  <si>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</si>
  <si>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</si>
  <si>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</si>
  <si>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</si>
  <si>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</si>
  <si>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</si>
  <si>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</si>
  <si>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</si>
  <si>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</si>
  <si>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</si>
  <si>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</si>
  <si>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</si>
  <si>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</si>
  <si>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</si>
  <si>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</si>
  <si>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</si>
  <si>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</si>
  <si>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</si>
  <si>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</si>
  <si>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</si>
  <si>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</si>
  <si>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</si>
  <si>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</si>
  <si>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</si>
  <si>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</si>
  <si>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</si>
  <si>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</si>
  <si>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</si>
  <si>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</si>
  <si>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</si>
  <si>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</si>
  <si>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</si>
  <si>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</si>
  <si>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</si>
  <si>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</si>
  <si>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</si>
  <si>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</si>
  <si>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</si>
  <si>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</si>
  <si>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</si>
  <si>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</si>
  <si>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</si>
  <si>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</si>
  <si>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</si>
  <si>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</si>
  <si>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</si>
  <si>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</si>
  <si>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</si>
  <si>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</si>
  <si>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</si>
  <si>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</si>
  <si>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</si>
  <si>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</si>
  <si>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</si>
  <si>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</si>
  <si>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</si>
  <si>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</si>
  <si>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</si>
  <si>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</si>
  <si>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</si>
  <si>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</si>
  <si>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</si>
  <si>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</si>
  <si>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</si>
  <si>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</si>
  <si>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</si>
  <si>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</si>
  <si>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</si>
  <si>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</si>
  <si>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</si>
  <si>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</si>
  <si>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</si>
  <si>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</si>
  <si>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</si>
  <si>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</si>
  <si>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</si>
  <si>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</si>
  <si>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</si>
  <si>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</si>
  <si>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</si>
  <si>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</si>
  <si>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</si>
  <si>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</si>
  <si>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</si>
  <si>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</si>
  <si>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</si>
  <si>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</si>
  <si>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</si>
  <si>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</si>
  <si>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</si>
  <si>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</si>
  <si>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</si>
  <si>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</si>
  <si>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</si>
  <si>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</si>
  <si>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</si>
  <si>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</si>
  <si>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</si>
  <si>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</si>
  <si>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</si>
  <si>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</si>
  <si>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</si>
  <si>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</si>
  <si>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</si>
  <si>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</si>
  <si>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</si>
  <si>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</si>
  <si>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</si>
  <si>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</si>
  <si>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</si>
  <si>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</si>
  <si>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</si>
  <si>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</si>
  <si>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</si>
  <si>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</si>
  <si>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</si>
  <si>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</si>
  <si>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</si>
  <si>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</si>
  <si>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</si>
  <si>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</si>
  <si>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</si>
  <si>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</si>
  <si>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</si>
  <si>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</si>
  <si>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</si>
  <si>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</si>
  <si>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</si>
  <si>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</si>
  <si>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</si>
  <si>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</si>
  <si>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</si>
  <si>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</si>
  <si>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</si>
  <si>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</si>
  <si>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</si>
  <si>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</si>
  <si>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</si>
  <si>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</si>
  <si>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</si>
  <si>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</si>
  <si>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</si>
  <si>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</si>
  <si>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</si>
  <si>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</si>
  <si>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</si>
  <si>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</si>
  <si>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</si>
  <si>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</si>
  <si>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</si>
  <si>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</si>
  <si>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</si>
  <si>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</si>
  <si>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</si>
  <si>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</si>
  <si>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</si>
  <si>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</si>
  <si>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</si>
  <si>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</si>
  <si>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</si>
  <si>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</si>
  <si>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</si>
  <si>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</si>
  <si>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</si>
  <si>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</si>
  <si>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</si>
  <si>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</si>
  <si>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</si>
  <si>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</si>
  <si>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</si>
  <si>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</si>
  <si>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</si>
  <si>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</si>
  <si>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</si>
  <si>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</si>
  <si>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</si>
  <si>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</si>
  <si>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</si>
  <si>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</si>
  <si>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</si>
  <si>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</si>
  <si>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</si>
  <si>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</si>
  <si>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</si>
  <si>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</si>
  <si>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</si>
  <si>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</si>
  <si>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</si>
  <si>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</si>
  <si>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</si>
  <si>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</si>
  <si>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</si>
  <si>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</si>
  <si>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</si>
  <si>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</si>
  <si>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</si>
  <si>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</si>
  <si>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</si>
  <si>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</si>
  <si>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</si>
  <si>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</si>
  <si>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</si>
  <si>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</si>
  <si>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</si>
  <si>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</si>
  <si>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</si>
  <si>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</si>
  <si>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</si>
  <si>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</si>
  <si>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</si>
  <si>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</si>
  <si>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</si>
  <si>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</si>
  <si>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</si>
  <si>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</si>
  <si>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</si>
  <si>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</si>
  <si>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</si>
  <si>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</si>
  <si>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</si>
  <si>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</si>
  <si>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</si>
  <si>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</si>
  <si>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</si>
  <si>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</si>
  <si>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</si>
  <si>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</si>
  <si>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</si>
  <si>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</si>
  <si>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</si>
  <si>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</si>
  <si>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</si>
  <si>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</si>
  <si>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</si>
  <si>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</si>
  <si>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</si>
  <si>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</si>
  <si>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</si>
  <si>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</si>
  <si>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</si>
  <si>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</si>
  <si>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</si>
  <si>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</si>
  <si>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</si>
  <si>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</si>
  <si>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</si>
  <si>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</si>
  <si>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</si>
  <si>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</si>
  <si>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</si>
  <si>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</si>
  <si>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</si>
  <si>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</si>
  <si>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</si>
  <si>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</si>
  <si>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</si>
  <si>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</si>
  <si>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</si>
  <si>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</si>
  <si>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</si>
  <si>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</si>
  <si>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</si>
  <si>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</si>
  <si>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</si>
  <si>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</si>
  <si>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</si>
  <si>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</si>
  <si>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</si>
  <si>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</si>
  <si>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</si>
  <si>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</si>
  <si>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</si>
  <si>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</si>
  <si>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</si>
  <si>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</si>
  <si>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</si>
  <si>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</si>
  <si>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</si>
  <si>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</si>
  <si>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</si>
  <si>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</si>
  <si>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</si>
  <si>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</si>
  <si>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</si>
  <si>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</si>
  <si>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</si>
  <si>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</si>
  <si>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</si>
  <si>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</si>
  <si>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</si>
  <si>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</si>
  <si>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</si>
  <si>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</si>
  <si>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</si>
  <si>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</si>
  <si>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</si>
  <si>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</si>
  <si>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</si>
  <si>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</si>
  <si>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</si>
  <si>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</si>
  <si>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</si>
  <si>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</si>
  <si>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</si>
  <si>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</si>
  <si>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</si>
  <si>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</si>
  <si>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</si>
  <si>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</si>
  <si>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</si>
  <si>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</si>
  <si>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</si>
  <si>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</si>
  <si>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</si>
  <si>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</si>
  <si>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</si>
  <si>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</si>
  <si>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</si>
  <si>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</si>
  <si>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</si>
  <si>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</si>
  <si>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</si>
  <si>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</si>
  <si>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</si>
  <si>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</si>
  <si>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</si>
  <si>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</si>
  <si>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</si>
  <si>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</si>
  <si>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</si>
  <si>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</si>
  <si>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</si>
  <si>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</si>
  <si>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</si>
  <si>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</si>
  <si>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</si>
  <si>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</si>
  <si>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</si>
  <si>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</si>
  <si>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</si>
  <si>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</si>
  <si>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</si>
  <si>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</si>
  <si>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</si>
  <si>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</si>
  <si>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</si>
  <si>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</si>
  <si>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</si>
  <si>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</si>
  <si>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</si>
  <si>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</si>
  <si>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</si>
  <si>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</si>
  <si>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</si>
  <si>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</si>
  <si>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</si>
  <si>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</si>
  <si>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</si>
  <si>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</si>
  <si>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</si>
  <si>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</si>
  <si>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</si>
  <si>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</si>
  <si>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</si>
  <si>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</si>
  <si>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</si>
  <si>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</si>
  <si>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</si>
  <si>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</si>
  <si>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</si>
  <si>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</si>
  <si>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</si>
  <si>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</si>
  <si>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</si>
  <si>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</si>
  <si>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</si>
  <si>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</si>
  <si>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</si>
  <si>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</si>
  <si>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</si>
  <si>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</si>
  <si>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</si>
  <si>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</si>
  <si>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</si>
  <si>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</si>
  <si>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</si>
  <si>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</si>
  <si>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</si>
  <si>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</si>
  <si>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</si>
  <si>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</si>
  <si>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</si>
  <si>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</si>
  <si>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</si>
  <si>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</si>
  <si>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</si>
  <si>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</si>
  <si>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</si>
  <si>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</si>
  <si>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</si>
  <si>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</si>
  <si>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</si>
  <si>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</si>
  <si>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</si>
  <si>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</si>
  <si>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</si>
  <si>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</si>
  <si>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</si>
  <si>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</si>
  <si>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</si>
  <si>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</si>
  <si>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</si>
  <si>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</si>
  <si>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</si>
  <si>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</si>
  <si>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</si>
  <si>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</si>
  <si>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</si>
  <si>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</si>
  <si>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</si>
  <si>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</si>
  <si>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</si>
  <si>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</si>
  <si>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</si>
  <si>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</si>
  <si>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</si>
  <si>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</si>
  <si>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</si>
  <si>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</si>
  <si>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</si>
  <si>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</si>
  <si>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</si>
  <si>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</si>
  <si>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</si>
  <si>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</si>
  <si>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</si>
  <si>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</si>
  <si>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</si>
  <si>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</si>
  <si>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</si>
  <si>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</si>
  <si>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</si>
  <si>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</si>
  <si>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</si>
  <si>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</si>
  <si>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</si>
  <si>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</si>
  <si>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</si>
  <si>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</si>
  <si>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</si>
  <si>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</si>
  <si>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</si>
  <si>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</si>
  <si>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</si>
  <si>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</si>
  <si>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</si>
  <si>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</si>
  <si>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</si>
  <si>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</si>
  <si>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</si>
  <si>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</si>
  <si>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</si>
  <si>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</si>
  <si>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</si>
  <si>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</si>
  <si>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</si>
  <si>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</si>
  <si>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</si>
  <si>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</si>
  <si>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</si>
  <si>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</si>
  <si>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</si>
  <si>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</si>
  <si>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</si>
  <si>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</si>
  <si>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</si>
  <si>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</si>
  <si>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</si>
  <si>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</si>
  <si>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</si>
  <si>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</si>
  <si>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</si>
  <si>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</si>
  <si>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</si>
  <si>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</si>
  <si>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</si>
  <si>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</si>
  <si>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</si>
  <si>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</si>
  <si>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</si>
  <si>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</si>
  <si>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</si>
  <si>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</si>
  <si>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</si>
  <si>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</si>
  <si>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</si>
  <si>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</si>
  <si>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</si>
  <si>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</si>
  <si>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</si>
  <si>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</si>
  <si>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</si>
  <si>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</si>
  <si>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</si>
  <si>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</si>
  <si>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</si>
  <si>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</si>
  <si>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</si>
  <si>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</si>
  <si>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</si>
  <si>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</si>
  <si>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</si>
  <si>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</si>
  <si>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</si>
  <si>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</si>
  <si>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</si>
  <si>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</si>
  <si>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</si>
  <si>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</si>
  <si>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</si>
  <si>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</si>
  <si>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</si>
  <si>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</si>
  <si>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</si>
  <si>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</si>
  <si>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</si>
  <si>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</si>
  <si>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</si>
  <si>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</si>
  <si>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</si>
  <si>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</si>
  <si>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</si>
  <si>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</si>
  <si>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</si>
  <si>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</si>
  <si>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</si>
  <si>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</si>
  <si>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</si>
  <si>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</si>
  <si>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</si>
  <si>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</si>
  <si>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</si>
  <si>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</si>
  <si>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</si>
  <si>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</si>
  <si>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</si>
  <si>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</si>
  <si>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</si>
  <si>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</si>
  <si>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</si>
  <si>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</si>
  <si>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</si>
  <si>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</si>
  <si>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</si>
  <si>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</si>
  <si>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</si>
  <si>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</si>
  <si>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</si>
  <si>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</si>
  <si>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</si>
  <si>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</si>
  <si>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</si>
  <si>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</si>
  <si>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</si>
  <si>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</si>
  <si>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</si>
  <si>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</si>
  <si>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</si>
  <si>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</si>
  <si>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</si>
  <si>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</si>
  <si>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</si>
  <si>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</si>
  <si>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</si>
  <si>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</si>
  <si>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</si>
  <si>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</si>
  <si>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</si>
  <si>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</si>
  <si>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</si>
  <si>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</si>
  <si>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</si>
  <si>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</si>
  <si>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</si>
  <si>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</si>
  <si>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</si>
  <si>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</si>
  <si>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</si>
  <si>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</si>
  <si>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</si>
  <si>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</si>
  <si>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</si>
  <si>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</si>
  <si>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</si>
  <si>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</si>
  <si>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</si>
  <si>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</si>
  <si>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</si>
  <si>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</si>
  <si>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</si>
  <si>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</si>
  <si>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</si>
  <si>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</si>
  <si>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</si>
  <si>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</si>
  <si>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</si>
  <si>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</si>
  <si>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</si>
  <si>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</si>
  <si>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</si>
  <si>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</si>
  <si>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</si>
  <si>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</si>
  <si>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</si>
  <si>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</si>
  <si>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</si>
  <si>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</si>
  <si>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</si>
  <si>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</si>
  <si>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</si>
  <si>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</si>
  <si>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</si>
  <si>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</si>
  <si>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</si>
  <si>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</si>
  <si>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</si>
  <si>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</si>
  <si>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</si>
  <si>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</si>
  <si>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</si>
  <si>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</si>
  <si>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</si>
  <si>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</si>
  <si>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</si>
  <si>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</si>
  <si>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</si>
  <si>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</si>
  <si>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</si>
  <si>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</si>
  <si>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</si>
  <si>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</si>
  <si>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</si>
  <si>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</si>
  <si>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</si>
  <si>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</si>
  <si>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</si>
  <si>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</si>
  <si>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</si>
  <si>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</si>
  <si>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</si>
  <si>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</si>
  <si>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</si>
  <si>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</si>
  <si>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</si>
  <si>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</si>
  <si>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</si>
  <si>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</si>
  <si>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</si>
  <si>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</si>
  <si>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</si>
  <si>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</si>
  <si>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</si>
  <si>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</si>
  <si>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</si>
  <si>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</si>
  <si>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</si>
  <si>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</si>
  <si>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</si>
  <si>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</si>
  <si>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</si>
  <si>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</si>
  <si>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</si>
  <si>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</si>
  <si>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</si>
  <si>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</si>
  <si>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</si>
  <si>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</si>
  <si>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</si>
  <si>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</si>
  <si>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</si>
  <si>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</si>
  <si>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</si>
  <si>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</si>
  <si>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</si>
  <si>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</si>
  <si>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</si>
  <si>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</si>
  <si>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</si>
  <si>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</si>
  <si>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</si>
  <si>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</si>
  <si>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</si>
  <si>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</si>
  <si>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</si>
  <si>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</si>
  <si>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</si>
  <si>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</si>
  <si>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</si>
  <si>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</si>
  <si>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</si>
  <si>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</si>
  <si>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</si>
  <si>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</si>
  <si>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</si>
  <si>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</si>
  <si>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</si>
  <si>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</si>
  <si>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</si>
  <si>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</si>
  <si>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</si>
  <si>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</si>
  <si>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</si>
  <si>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</si>
  <si>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</si>
  <si>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</si>
  <si>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</si>
  <si>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</si>
  <si>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</si>
  <si>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</si>
  <si>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</si>
  <si>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</si>
  <si>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</si>
  <si>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</si>
  <si>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</si>
  <si>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</si>
  <si>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</si>
  <si>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</si>
  <si>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</si>
  <si>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</si>
  <si>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</si>
  <si>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</si>
  <si>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</si>
  <si>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</si>
  <si>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</si>
  <si>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</si>
  <si>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</si>
  <si>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</si>
  <si>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</si>
  <si>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</si>
  <si>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</si>
  <si>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</si>
  <si>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</si>
  <si>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</si>
  <si>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</si>
  <si>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</si>
  <si>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</si>
  <si>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</si>
  <si>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</si>
  <si>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</si>
  <si>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</si>
  <si>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</si>
  <si>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</si>
  <si>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</si>
  <si>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</si>
  <si>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</si>
  <si>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</si>
  <si>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</si>
  <si>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</si>
  <si>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</si>
  <si>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</si>
  <si>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</si>
  <si>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</si>
  <si>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</si>
  <si>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</si>
  <si>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</si>
  <si>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</si>
  <si>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</si>
  <si>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</si>
  <si>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</si>
  <si>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</si>
  <si>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</si>
  <si>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</si>
  <si>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</si>
  <si>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</si>
  <si>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</si>
  <si>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</si>
  <si>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</si>
  <si>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</si>
  <si>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</si>
  <si>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</si>
  <si>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</si>
  <si>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</si>
  <si>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</si>
  <si>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</si>
  <si>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</si>
  <si>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</si>
  <si>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</si>
  <si>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</si>
  <si>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</si>
  <si>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</si>
  <si>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</si>
  <si>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</si>
  <si>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</si>
  <si>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</si>
  <si>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</si>
  <si>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</si>
  <si>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</si>
  <si>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</si>
  <si>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</si>
  <si>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</si>
  <si>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</si>
  <si>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</si>
  <si>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</si>
  <si>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</si>
  <si>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</si>
  <si>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</si>
  <si>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</si>
  <si>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</si>
  <si>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</si>
  <si>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</si>
  <si>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</si>
  <si>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</si>
  <si>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</si>
  <si>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</si>
  <si>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</si>
  <si>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</si>
  <si>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</si>
  <si>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</si>
  <si>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</si>
  <si>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</si>
  <si>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</si>
  <si>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</si>
  <si>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</si>
  <si>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</si>
  <si>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</si>
  <si>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</si>
  <si>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</si>
  <si>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</si>
  <si>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</si>
  <si>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</si>
  <si>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</si>
  <si>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</si>
  <si>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</si>
  <si>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</si>
  <si>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</si>
  <si>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</si>
  <si>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</si>
  <si>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</si>
  <si>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</si>
  <si>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</si>
  <si>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</si>
  <si>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</si>
  <si>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</si>
  <si>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</si>
  <si>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</si>
  <si>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</si>
  <si>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</si>
  <si>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</si>
  <si>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</si>
  <si>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</si>
  <si>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</si>
  <si>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</si>
  <si>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</si>
  <si>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</si>
  <si>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</si>
  <si>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</si>
  <si>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</si>
  <si>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</si>
  <si>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</si>
  <si>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</si>
  <si>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</si>
  <si>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</si>
  <si>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</si>
  <si>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</si>
  <si>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</si>
  <si>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</si>
  <si>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</si>
  <si>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</si>
  <si>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</si>
  <si>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</si>
  <si>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</si>
  <si>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</si>
  <si>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</si>
  <si>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</si>
  <si>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</si>
  <si>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</si>
  <si>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</si>
  <si>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</si>
  <si>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</si>
  <si>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</si>
  <si>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</si>
  <si>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</si>
  <si>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</si>
  <si>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</si>
  <si>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</si>
  <si>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</si>
  <si>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</si>
  <si>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</si>
  <si>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</si>
  <si>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</si>
  <si>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</si>
  <si>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</si>
  <si>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</si>
  <si>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</si>
  <si>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</si>
  <si>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</si>
  <si>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</si>
  <si>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</si>
  <si>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</si>
  <si>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</si>
  <si>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</si>
  <si>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</si>
  <si>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</si>
  <si>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</si>
  <si>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</si>
  <si>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</si>
  <si>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</si>
  <si>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</si>
  <si>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</si>
  <si>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</si>
  <si>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</si>
  <si>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</si>
  <si>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</si>
  <si>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</si>
  <si>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</si>
  <si>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</si>
  <si>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</si>
  <si>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</si>
  <si>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</si>
  <si>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</si>
  <si>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</si>
  <si>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</si>
  <si>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</si>
  <si>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</si>
  <si>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</si>
  <si>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</si>
  <si>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</si>
  <si>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</si>
  <si>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</si>
  <si>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</si>
  <si>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</si>
  <si>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</si>
  <si>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</si>
  <si>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</si>
  <si>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</si>
  <si>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</si>
  <si>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</si>
  <si>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</si>
  <si>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</si>
  <si>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</si>
  <si>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</si>
  <si>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</si>
  <si>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</si>
  <si>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</si>
  <si>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</si>
  <si>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</si>
  <si>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</si>
  <si>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</si>
  <si>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</si>
  <si>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</si>
  <si>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</si>
  <si>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</si>
  <si>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</si>
  <si>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</si>
  <si>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</si>
  <si>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</si>
  <si>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</si>
  <si>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</si>
  <si>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</si>
  <si>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</si>
  <si>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</si>
  <si>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</si>
  <si>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</si>
  <si>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</si>
  <si>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</si>
  <si>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</si>
  <si>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</si>
  <si>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</si>
  <si>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</si>
  <si>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</si>
  <si>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</si>
  <si>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</si>
  <si>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</si>
  <si>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</si>
  <si>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</si>
  <si>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</si>
  <si>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</si>
  <si>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</si>
  <si>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</si>
  <si>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</si>
  <si>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</si>
  <si>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</si>
  <si>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</si>
  <si>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</si>
  <si>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</si>
  <si>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</si>
  <si>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</si>
  <si>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</si>
  <si>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</si>
  <si>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</si>
  <si>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</si>
  <si>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</si>
  <si>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</si>
  <si>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</si>
  <si>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</si>
  <si>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</si>
  <si>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</si>
  <si>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</si>
  <si>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</si>
  <si>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</si>
  <si>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</si>
  <si>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</si>
  <si>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</si>
  <si>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</si>
  <si>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</si>
  <si>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</si>
  <si>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</si>
  <si>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</si>
  <si>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</si>
  <si>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</si>
  <si>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</si>
  <si>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</si>
  <si>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</si>
  <si>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</si>
  <si>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</si>
  <si>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</si>
  <si>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</si>
  <si>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</si>
  <si>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</si>
  <si>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</si>
  <si>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</si>
  <si>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</si>
  <si>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</si>
  <si>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</si>
  <si>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</si>
  <si>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</si>
  <si>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</si>
  <si>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</si>
  <si>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</si>
  <si>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</si>
  <si>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</si>
  <si>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</si>
  <si>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</si>
  <si>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</si>
  <si>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</si>
  <si>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</si>
  <si>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</si>
  <si>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</si>
  <si>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</si>
  <si>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</si>
  <si>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</si>
  <si>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</si>
  <si>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</si>
  <si>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</si>
  <si>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</si>
  <si>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</si>
  <si>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</si>
  <si>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</si>
  <si>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</si>
  <si>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</si>
  <si>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</si>
  <si>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</si>
  <si>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</si>
  <si>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</si>
  <si>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</si>
  <si>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</si>
  <si>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</si>
  <si>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</si>
  <si>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</si>
  <si>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</si>
  <si>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</si>
  <si>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</si>
  <si>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</si>
  <si>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</si>
  <si>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</si>
  <si>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</si>
  <si>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</si>
  <si>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</si>
  <si>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</si>
  <si>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</si>
  <si>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</si>
  <si>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</si>
  <si>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</si>
  <si>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</si>
  <si>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</si>
  <si>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</si>
  <si>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</si>
  <si>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</si>
  <si>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</si>
  <si>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</si>
  <si>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</si>
  <si>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</si>
  <si>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</si>
  <si>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</si>
  <si>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</si>
  <si>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</si>
  <si>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</si>
  <si>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</si>
  <si>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</si>
  <si>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</si>
  <si>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</si>
  <si>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</si>
  <si>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</si>
  <si>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</si>
  <si>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</si>
  <si>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</si>
  <si>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</si>
  <si>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</si>
  <si>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</si>
  <si>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</si>
  <si>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</si>
  <si>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</si>
  <si>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</si>
  <si>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</si>
  <si>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</si>
  <si>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</si>
  <si>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</si>
  <si>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</si>
  <si>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</si>
  <si>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</si>
  <si>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</si>
  <si>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</si>
  <si>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</si>
  <si>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</si>
  <si>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</si>
  <si>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</si>
  <si>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</si>
  <si>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</si>
  <si>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</si>
  <si>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</si>
  <si>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</si>
  <si>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</si>
  <si>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</si>
  <si>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</si>
  <si>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</si>
  <si>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</si>
  <si>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</si>
  <si>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</si>
  <si>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</si>
  <si>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</si>
  <si>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</si>
  <si>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</si>
  <si>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</si>
  <si>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</si>
  <si>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</si>
  <si>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</si>
  <si>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</si>
  <si>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</si>
  <si>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</si>
  <si>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</si>
  <si>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</si>
  <si>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</si>
  <si>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</si>
  <si>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</si>
  <si>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</si>
  <si>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</si>
  <si>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</si>
  <si>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</si>
  <si>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</si>
  <si>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</si>
  <si>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</si>
  <si>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</si>
  <si>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</si>
  <si>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</si>
  <si>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</si>
  <si>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</si>
  <si>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</si>
  <si>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</si>
  <si>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</si>
  <si>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</si>
  <si>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</si>
  <si>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</si>
  <si>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</si>
  <si>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</si>
  <si>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</si>
  <si>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</si>
  <si>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</si>
  <si>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</si>
  <si>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</si>
  <si>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</si>
  <si>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</si>
  <si>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</si>
  <si>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</si>
  <si>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</si>
  <si>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</si>
  <si>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</si>
  <si>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</si>
  <si>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</si>
  <si>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</si>
  <si>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</si>
  <si>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</si>
  <si>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</si>
  <si>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</si>
  <si>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</si>
  <si>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</si>
  <si>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</si>
  <si>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</si>
  <si>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</si>
  <si>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</si>
  <si>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</si>
  <si>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</si>
  <si>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</si>
  <si>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</si>
  <si>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</si>
  <si>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</si>
  <si>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</si>
  <si>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</si>
  <si>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</si>
  <si>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</si>
  <si>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</si>
  <si>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</si>
  <si>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</si>
  <si>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</si>
  <si>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</si>
  <si>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</si>
  <si>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</si>
  <si>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</si>
  <si>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</si>
  <si>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</si>
  <si>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</si>
  <si>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</si>
  <si>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</si>
  <si>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</si>
  <si>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</si>
  <si>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</si>
  <si>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</si>
  <si>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</si>
  <si>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</si>
  <si>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</si>
  <si>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</si>
  <si>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</si>
  <si>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</si>
  <si>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</si>
  <si>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</si>
  <si>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</si>
  <si>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</si>
  <si>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</si>
  <si>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</si>
  <si>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</si>
  <si>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</si>
  <si>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</si>
  <si>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</si>
  <si>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</si>
  <si>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</si>
  <si>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</si>
  <si>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</si>
  <si>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</si>
  <si>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</si>
  <si>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</si>
  <si>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</si>
  <si>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</si>
  <si>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</si>
  <si>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</si>
  <si>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</si>
  <si>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</si>
  <si>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</si>
  <si>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</si>
  <si>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</si>
  <si>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</si>
  <si>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</si>
  <si>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</si>
  <si>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</si>
  <si>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</si>
  <si>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</si>
  <si>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</si>
  <si>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</si>
  <si>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</si>
  <si>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</si>
  <si>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</si>
  <si>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</si>
  <si>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</si>
  <si>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</si>
  <si>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</si>
  <si>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</si>
  <si>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</si>
  <si>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</si>
  <si>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</si>
  <si>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</si>
  <si>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</si>
  <si>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</si>
  <si>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</si>
  <si>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</si>
  <si>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</si>
  <si>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</si>
  <si>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</si>
  <si>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</si>
  <si>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</si>
  <si>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</si>
  <si>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</si>
  <si>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</si>
  <si>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</si>
  <si>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</si>
  <si>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</si>
  <si>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</si>
  <si>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</si>
  <si>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</si>
  <si>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</si>
  <si>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</si>
  <si>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</si>
  <si>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</si>
  <si>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</si>
  <si>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</si>
  <si>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</si>
  <si>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</si>
  <si>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</si>
  <si>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</si>
  <si>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</si>
  <si>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</si>
  <si>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</si>
  <si>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</si>
  <si>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</si>
  <si>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</si>
  <si>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</si>
  <si>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</si>
  <si>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</si>
  <si>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</si>
  <si>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</si>
  <si>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</si>
  <si>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</si>
  <si>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</si>
  <si>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</si>
  <si>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</si>
  <si>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</si>
  <si>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</si>
  <si>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</si>
  <si>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</si>
  <si>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</si>
  <si>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</si>
  <si>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</si>
  <si>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</si>
  <si>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</si>
  <si>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</si>
  <si>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</si>
  <si>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</si>
  <si>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</si>
  <si>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</si>
  <si>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</si>
  <si>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</si>
  <si>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</si>
  <si>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</si>
  <si>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</si>
  <si>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</si>
  <si>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</si>
  <si>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</si>
  <si>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</si>
  <si>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</si>
  <si>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</si>
  <si>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</si>
  <si>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</si>
  <si>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</si>
  <si>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</si>
  <si>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</si>
  <si>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</si>
  <si>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</si>
  <si>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</si>
  <si>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</si>
  <si>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</si>
  <si>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</si>
  <si>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</si>
  <si>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</si>
  <si>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</si>
  <si>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</si>
  <si>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</si>
  <si>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</si>
  <si>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</si>
  <si>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</si>
  <si>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</si>
  <si>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</si>
  <si>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</si>
  <si>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</si>
  <si>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</si>
  <si>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</si>
  <si>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</si>
  <si>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</si>
  <si>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</si>
  <si>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</si>
  <si>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</si>
  <si>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</si>
  <si>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</si>
  <si>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</si>
  <si>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</si>
  <si>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</si>
  <si>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</si>
  <si>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</si>
  <si>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</si>
  <si>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</si>
  <si>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</si>
  <si>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</si>
  <si>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</si>
  <si>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</si>
  <si>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</si>
  <si>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</si>
  <si>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</si>
  <si>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</si>
  <si>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</si>
  <si>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</si>
  <si>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</si>
  <si>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</si>
  <si>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</si>
  <si>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</si>
  <si>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</si>
  <si>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</si>
  <si>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</si>
  <si>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</si>
  <si>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</si>
  <si>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</si>
  <si>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</si>
  <si>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</si>
  <si>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</si>
  <si>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</si>
  <si>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</si>
  <si>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</si>
  <si>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</si>
  <si>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</si>
  <si>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</si>
  <si>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</si>
  <si>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</si>
  <si>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</si>
  <si>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</si>
  <si>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</si>
  <si>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</si>
  <si>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</si>
  <si>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</si>
  <si>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</si>
  <si>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</si>
  <si>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</si>
  <si>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</si>
  <si>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</si>
  <si>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</si>
  <si>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</si>
  <si>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</si>
  <si>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</si>
  <si>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</si>
  <si>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</si>
  <si>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</si>
  <si>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</si>
  <si>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</si>
  <si>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</si>
  <si>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</si>
  <si>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</si>
  <si>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</si>
  <si>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</si>
  <si>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</si>
  <si>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</si>
  <si>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</si>
  <si>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</si>
  <si>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</si>
  <si>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</si>
  <si>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</si>
  <si>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</si>
  <si>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</si>
  <si>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</si>
  <si>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</si>
  <si>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</si>
  <si>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</si>
  <si>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</si>
  <si>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</si>
  <si>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</si>
  <si>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</si>
  <si>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</si>
  <si>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</si>
  <si>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</si>
  <si>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</si>
  <si>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</si>
  <si>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</si>
  <si>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</si>
  <si>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</si>
  <si>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</si>
  <si>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</si>
  <si>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</si>
  <si>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</si>
  <si>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</si>
  <si>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</si>
  <si>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</si>
  <si>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</si>
  <si>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</si>
  <si>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</si>
  <si>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</si>
  <si>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</si>
  <si>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</si>
  <si>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</si>
  <si>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</si>
  <si>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</si>
  <si>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</si>
  <si>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</si>
  <si>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</si>
  <si>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</si>
  <si>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</si>
  <si>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</si>
  <si>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</si>
  <si>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</si>
  <si>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</si>
  <si>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</si>
  <si>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</si>
  <si>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</si>
  <si>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</si>
  <si>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</si>
  <si>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</si>
  <si>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</si>
  <si>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</si>
  <si>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</si>
  <si>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</si>
  <si>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</si>
  <si>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</si>
  <si>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</si>
  <si>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</si>
  <si>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</si>
  <si>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</si>
  <si>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</si>
  <si>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</si>
  <si>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</si>
  <si>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</si>
  <si>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</si>
  <si>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</si>
  <si>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</si>
  <si>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</si>
  <si>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</si>
  <si>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</si>
  <si>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</si>
  <si>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</si>
  <si>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</si>
  <si>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</si>
  <si>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</si>
  <si>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</si>
  <si>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</si>
  <si>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</si>
  <si>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</si>
  <si>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</si>
  <si>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</si>
  <si>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</si>
  <si>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</si>
  <si>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</si>
  <si>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</si>
  <si>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</si>
  <si>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</si>
  <si>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</si>
  <si>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</si>
  <si>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</si>
  <si>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</si>
  <si>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</si>
  <si>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</si>
  <si>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</si>
  <si>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</si>
  <si>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</si>
  <si>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</si>
  <si>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</si>
  <si>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</si>
  <si>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</si>
  <si>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</si>
  <si>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</si>
  <si>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</si>
  <si>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</si>
  <si>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</si>
  <si>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</si>
  <si>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</si>
  <si>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</si>
  <si>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</si>
  <si>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</si>
  <si>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</si>
  <si>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</si>
  <si>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</si>
  <si>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</si>
  <si>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</si>
  <si>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</si>
  <si>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</si>
  <si>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</si>
  <si>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</si>
  <si>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</si>
  <si>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</si>
  <si>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</si>
  <si>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</si>
  <si>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</si>
  <si>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</si>
  <si>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</si>
  <si>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</si>
  <si>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</si>
  <si>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</si>
  <si>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</si>
  <si>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</si>
  <si>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</si>
  <si>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</si>
  <si>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</si>
  <si>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</si>
  <si>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</si>
  <si>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</si>
  <si>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</si>
  <si>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</si>
  <si>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</si>
  <si>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</si>
  <si>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</si>
  <si>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</si>
  <si>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</si>
  <si>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</si>
  <si>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</si>
  <si>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</si>
  <si>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</si>
  <si>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</si>
  <si>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</si>
  <si>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</si>
  <si>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</si>
  <si>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</si>
  <si>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</si>
  <si>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</si>
  <si>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</si>
  <si>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</si>
  <si>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</si>
  <si>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</si>
  <si>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</si>
  <si>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</si>
  <si>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</si>
  <si>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</si>
  <si>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</si>
  <si>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</si>
  <si>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</si>
  <si>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</si>
  <si>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</si>
  <si>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</si>
  <si>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</si>
  <si>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</si>
  <si>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</si>
  <si>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</si>
  <si>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</si>
  <si>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</si>
  <si>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</si>
  <si>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</si>
  <si>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</si>
  <si>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</si>
  <si>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</si>
  <si>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</si>
  <si>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</si>
  <si>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</si>
  <si>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</si>
  <si>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</si>
  <si>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</si>
  <si>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</si>
  <si>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</si>
  <si>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</si>
  <si>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</si>
  <si>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</si>
  <si>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</si>
  <si>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</si>
  <si>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</si>
  <si>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</si>
  <si>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</si>
  <si>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</si>
  <si>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</si>
  <si>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</si>
  <si>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</si>
  <si>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</si>
  <si>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</si>
  <si>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</si>
  <si>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</si>
  <si>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</si>
  <si>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</si>
  <si>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</si>
  <si>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</si>
  <si>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</si>
  <si>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</si>
  <si>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</si>
  <si>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</si>
  <si>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</si>
  <si>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</si>
  <si>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</si>
  <si>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</si>
  <si>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</si>
  <si>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</si>
  <si>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</si>
  <si>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</si>
  <si>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</si>
  <si>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</si>
  <si>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</si>
  <si>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</si>
  <si>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</si>
  <si>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</si>
  <si>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</si>
  <si>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</si>
  <si>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</si>
  <si>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</si>
  <si>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</si>
  <si>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</si>
  <si>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</si>
  <si>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</si>
  <si>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</si>
  <si>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</si>
  <si>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</si>
  <si>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</si>
  <si>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</si>
  <si>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</si>
  <si>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</si>
  <si>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</si>
  <si>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</si>
  <si>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</si>
  <si>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</si>
  <si>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</si>
  <si>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</si>
  <si>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</si>
  <si>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</si>
  <si>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</si>
  <si>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</si>
  <si>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</si>
  <si>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</si>
  <si>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</si>
  <si>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</si>
  <si>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</si>
  <si>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</si>
  <si>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</si>
  <si>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</si>
  <si>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</si>
  <si>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</si>
  <si>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</si>
  <si>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</si>
  <si>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</si>
  <si>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</si>
  <si>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</si>
  <si>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</si>
  <si>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</si>
  <si>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</si>
  <si>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</si>
  <si>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</si>
  <si>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</si>
  <si>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</si>
  <si>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</si>
  <si>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</si>
  <si>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</si>
  <si>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</si>
  <si>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</si>
  <si>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</si>
  <si>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</si>
  <si>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</si>
  <si>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</si>
  <si>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</si>
  <si>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</si>
  <si>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</si>
  <si>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</si>
  <si>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</si>
  <si>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</si>
  <si>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</si>
  <si>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</si>
  <si>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</si>
  <si>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</si>
  <si>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</si>
  <si>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</si>
  <si>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</si>
  <si>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</si>
  <si>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</si>
  <si>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</si>
  <si>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</si>
  <si>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</si>
  <si>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</si>
  <si>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</si>
  <si>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</si>
  <si>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</si>
  <si>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</si>
  <si>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</si>
  <si>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</si>
  <si>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</si>
  <si>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</si>
  <si>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</si>
  <si>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</si>
  <si>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</si>
  <si>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</si>
  <si>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</si>
  <si>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</si>
  <si>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</si>
  <si>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</si>
  <si>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</si>
  <si>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</si>
  <si>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</si>
  <si>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</si>
  <si>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</si>
  <si>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</si>
  <si>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</si>
  <si>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</si>
  <si>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</si>
  <si>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</si>
  <si>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</si>
  <si>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</si>
  <si>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</si>
  <si>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</si>
  <si>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</si>
  <si>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</si>
  <si>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</si>
  <si>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</si>
  <si>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</si>
  <si>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</si>
  <si>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</si>
  <si>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</si>
  <si>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</si>
  <si>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</si>
  <si>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</si>
  <si>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</si>
  <si>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</si>
  <si>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</si>
  <si>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</si>
  <si>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</si>
  <si>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</si>
  <si>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</si>
  <si>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</si>
  <si>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</si>
  <si>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</si>
  <si>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</si>
  <si>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</si>
  <si>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</si>
  <si>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</si>
  <si>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</si>
  <si>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</si>
  <si>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</si>
  <si>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</si>
  <si>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</si>
  <si>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</si>
  <si>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</si>
  <si>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</si>
  <si>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</si>
  <si>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</si>
  <si>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</si>
  <si>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</si>
  <si>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</si>
  <si>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</si>
  <si>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</si>
  <si>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</si>
  <si>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</si>
  <si>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</si>
  <si>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</si>
  <si>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</si>
  <si>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</si>
  <si>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</si>
  <si>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</si>
  <si>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</si>
  <si>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</si>
  <si>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</si>
  <si>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</si>
  <si>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</si>
  <si>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</si>
  <si>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</si>
  <si>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</si>
  <si>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</si>
  <si>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</si>
  <si>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</si>
  <si>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</si>
  <si>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</si>
  <si>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</si>
  <si>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</si>
  <si>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</si>
  <si>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</si>
  <si>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</si>
  <si>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</si>
  <si>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</si>
  <si>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</si>
  <si>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</si>
  <si>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</si>
  <si>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</si>
  <si>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</si>
  <si>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</si>
  <si>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</si>
  <si>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</si>
  <si>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</si>
  <si>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</si>
  <si>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</si>
  <si>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</si>
  <si>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</si>
  <si>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</si>
  <si>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</si>
  <si>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</si>
  <si>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</si>
  <si>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</si>
  <si>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</si>
  <si>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</si>
  <si>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</si>
  <si>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</si>
  <si>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</si>
  <si>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</si>
  <si>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</si>
  <si>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</si>
  <si>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</si>
  <si>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</si>
  <si>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</si>
  <si>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</si>
  <si>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</si>
  <si>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</si>
  <si>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</si>
  <si>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</si>
  <si>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</si>
  <si>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</si>
  <si>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</si>
  <si>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</si>
  <si>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</si>
  <si>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</si>
  <si>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</si>
  <si>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</si>
  <si>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</si>
  <si>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</si>
  <si>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</si>
  <si>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</si>
  <si>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</si>
  <si>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</si>
  <si>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</si>
  <si>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</si>
  <si>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</si>
  <si>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</si>
  <si>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</si>
  <si>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</si>
  <si>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</si>
  <si>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</si>
  <si>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</si>
  <si>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</si>
  <si>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</si>
  <si>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</si>
  <si>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</si>
  <si>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</si>
  <si>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</si>
  <si>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</si>
  <si>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</si>
  <si>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</si>
  <si>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</si>
  <si>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</si>
  <si>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</si>
  <si>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</si>
  <si>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</si>
  <si>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</si>
  <si>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</si>
  <si>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</si>
  <si>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</si>
  <si>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</si>
  <si>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</si>
  <si>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</si>
  <si>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</si>
  <si>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</si>
  <si>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</si>
  <si>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</si>
  <si>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</si>
  <si>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</si>
  <si>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</si>
  <si>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</si>
  <si>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</si>
  <si>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</si>
  <si>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</si>
  <si>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</si>
  <si>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</si>
  <si>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</si>
  <si>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</si>
  <si>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</si>
  <si>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</si>
  <si>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</si>
  <si>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</si>
  <si>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</si>
  <si>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</si>
  <si>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</si>
  <si>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</si>
  <si>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</si>
  <si>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</si>
  <si>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</si>
  <si>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</si>
  <si>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</si>
  <si>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</si>
  <si>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</si>
  <si>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</si>
  <si>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</si>
  <si>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</si>
  <si>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</si>
  <si>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</si>
  <si>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</si>
  <si>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</si>
  <si>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</si>
  <si>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</si>
  <si>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</si>
  <si>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</si>
  <si>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</si>
  <si>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</si>
  <si>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</si>
  <si>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</si>
  <si>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</si>
  <si>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</si>
  <si>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</si>
  <si>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</si>
  <si>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</si>
  <si>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</si>
  <si>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</si>
  <si>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</si>
  <si>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</si>
  <si>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</si>
  <si>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</si>
  <si>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</si>
  <si>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</si>
  <si>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</si>
  <si>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</si>
  <si>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</si>
  <si>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</si>
  <si>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</si>
  <si>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</si>
  <si>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</si>
  <si>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</si>
  <si>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</si>
  <si>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</si>
  <si>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</si>
  <si>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</si>
  <si>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</si>
  <si>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</si>
  <si>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</si>
  <si>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</si>
  <si>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</si>
  <si>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</si>
  <si>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</si>
  <si>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</si>
  <si>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</si>
  <si>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</si>
  <si>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</si>
  <si>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</si>
  <si>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</si>
  <si>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</si>
  <si>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</si>
  <si>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</si>
  <si>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</si>
  <si>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</si>
  <si>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</si>
  <si>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</si>
  <si>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</si>
  <si>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</si>
  <si>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</si>
  <si>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</si>
  <si>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</si>
  <si>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</si>
  <si>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</si>
  <si>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</si>
  <si>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</si>
  <si>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</si>
  <si>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</si>
  <si>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</si>
  <si>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</si>
  <si>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</si>
  <si>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</si>
  <si>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</si>
  <si>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</si>
  <si>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</si>
  <si>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</si>
  <si>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</si>
  <si>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</si>
  <si>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</si>
  <si>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</si>
  <si>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</si>
  <si>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</si>
  <si>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</si>
  <si>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</si>
  <si>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</si>
  <si>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</si>
  <si>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</si>
  <si>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</si>
  <si>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</si>
  <si>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</si>
  <si>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</si>
  <si>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</si>
  <si>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</si>
  <si>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</si>
  <si>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</si>
  <si>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</si>
  <si>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</si>
  <si>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</si>
  <si>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</si>
  <si>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</si>
  <si>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</si>
  <si>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</si>
  <si>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</si>
  <si>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</si>
  <si>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</si>
  <si>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</si>
  <si>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</si>
  <si>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</si>
  <si>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</si>
  <si>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</si>
  <si>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</si>
  <si>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</si>
  <si>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</si>
  <si>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</si>
  <si>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</si>
  <si>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</si>
  <si>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</si>
  <si>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</si>
  <si>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</si>
  <si>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</si>
  <si>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</si>
  <si>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</si>
  <si>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</si>
  <si>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</si>
  <si>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</si>
  <si>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</si>
  <si>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</si>
  <si>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</si>
  <si>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</si>
  <si>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</si>
  <si>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</si>
  <si>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</si>
  <si>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</si>
  <si>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</si>
  <si>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</si>
  <si>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</si>
  <si>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</si>
  <si>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</si>
  <si>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</si>
  <si>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</si>
  <si>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</si>
  <si>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</si>
  <si>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</si>
  <si>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</si>
  <si>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</si>
  <si>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</si>
  <si>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</si>
  <si>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</si>
  <si>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</si>
  <si>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</si>
  <si>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</si>
  <si>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</si>
  <si>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</si>
  <si>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</si>
  <si>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</si>
  <si>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</si>
  <si>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</si>
  <si>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</si>
  <si>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</si>
  <si>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</si>
  <si>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</si>
  <si>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</si>
  <si>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</si>
  <si>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</si>
  <si>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</si>
  <si>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</si>
  <si>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</si>
  <si>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</si>
  <si>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</si>
  <si>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</si>
  <si>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</si>
  <si>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</si>
  <si>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</si>
  <si>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</si>
  <si>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</si>
  <si>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</si>
  <si>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</si>
  <si>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</si>
  <si>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</si>
  <si>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</si>
  <si>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</si>
  <si>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</si>
  <si>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</si>
  <si>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</si>
  <si>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</si>
  <si>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</si>
  <si>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</si>
  <si>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</si>
  <si>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</si>
  <si>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</si>
  <si>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</si>
  <si>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</si>
  <si>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</si>
  <si>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</si>
  <si>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</si>
  <si>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</si>
  <si>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</si>
  <si>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</si>
  <si>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</si>
  <si>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</si>
  <si>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</si>
  <si>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</si>
  <si>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</si>
  <si>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</si>
  <si>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</si>
  <si>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</si>
  <si>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</si>
  <si>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</si>
  <si>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</si>
  <si>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</si>
  <si>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</si>
  <si>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</si>
  <si>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</si>
  <si>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</si>
  <si>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</si>
  <si>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</si>
  <si>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</si>
  <si>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</si>
  <si>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</si>
  <si>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</si>
  <si>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</si>
  <si>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</si>
  <si>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</si>
  <si>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</si>
  <si>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</si>
  <si>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</si>
  <si>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</si>
  <si>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</si>
  <si>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</si>
  <si>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</si>
  <si>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</si>
  <si>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</si>
  <si>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</si>
  <si>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</si>
  <si>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</si>
  <si>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</si>
  <si>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</si>
  <si>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</si>
  <si>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</si>
  <si>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</si>
  <si>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</si>
  <si>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</si>
  <si>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</si>
  <si>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</si>
  <si>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</si>
  <si>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</si>
  <si>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</si>
  <si>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</si>
  <si>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</si>
  <si>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</si>
  <si>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</si>
  <si>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</si>
  <si>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</si>
  <si>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</si>
  <si>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</si>
  <si>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</si>
  <si>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</si>
  <si>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</si>
  <si>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</si>
  <si>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</si>
  <si>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</si>
  <si>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</si>
  <si>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</si>
  <si>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</si>
  <si>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</si>
  <si>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</si>
  <si>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</si>
  <si>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</si>
  <si>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</si>
  <si>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</si>
  <si>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</si>
  <si>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</si>
  <si>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</si>
  <si>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</si>
  <si>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</si>
  <si>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</si>
  <si>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</si>
  <si>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</si>
  <si>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</si>
  <si>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</si>
  <si>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</si>
  <si>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</si>
  <si>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</si>
  <si>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</si>
  <si>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</si>
  <si>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</si>
  <si>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</si>
  <si>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</si>
  <si>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</si>
  <si>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</si>
  <si>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</si>
  <si>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</si>
  <si>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</si>
  <si>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</si>
  <si>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</si>
  <si>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</si>
  <si>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</si>
  <si>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</si>
  <si>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</si>
  <si>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</si>
  <si>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</si>
  <si>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</si>
  <si>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</si>
  <si>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</si>
  <si>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</si>
  <si>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</si>
  <si>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</si>
  <si>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</si>
  <si>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</si>
  <si>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</si>
  <si>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</si>
  <si>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</si>
  <si>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</si>
  <si>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</si>
  <si>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</si>
  <si>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</si>
  <si>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</si>
  <si>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</si>
  <si>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</si>
  <si>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</si>
  <si>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</si>
  <si>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</si>
  <si>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</si>
  <si>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</si>
  <si>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</si>
  <si>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</si>
  <si>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</si>
  <si>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</si>
  <si>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</si>
  <si>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</si>
  <si>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</si>
  <si>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</si>
  <si>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</si>
  <si>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</si>
  <si>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</si>
  <si>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</si>
  <si>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</si>
  <si>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</si>
  <si>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</si>
  <si>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</si>
  <si>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</si>
  <si>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</si>
  <si>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</si>
  <si>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</si>
  <si>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</si>
  <si>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</si>
  <si>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</si>
  <si>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</si>
  <si>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</si>
  <si>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</si>
  <si>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</si>
  <si>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</si>
  <si>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</si>
  <si>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</si>
  <si>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</si>
  <si>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</si>
  <si>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</si>
  <si>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</si>
  <si>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</si>
  <si>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</si>
  <si>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</si>
  <si>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</si>
  <si>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</si>
  <si>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</si>
  <si>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</si>
  <si>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</si>
  <si>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</si>
  <si>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</si>
  <si>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</si>
  <si>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</si>
  <si>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</si>
  <si>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</si>
  <si>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</si>
  <si>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</si>
  <si>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</si>
  <si>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</si>
  <si>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</si>
  <si>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</si>
  <si>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</si>
  <si>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</si>
  <si>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</si>
  <si>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</si>
  <si>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</si>
  <si>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</si>
  <si>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</si>
  <si>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</si>
  <si>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</si>
  <si>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</si>
  <si>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</si>
  <si>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</si>
  <si>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</si>
  <si>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</si>
  <si>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</si>
  <si>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</si>
  <si>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</si>
  <si>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</si>
  <si>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</si>
  <si>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</si>
  <si>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</si>
  <si>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</si>
  <si>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</si>
  <si>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</si>
  <si>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</si>
  <si>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</si>
  <si>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</si>
  <si>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</si>
  <si>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</si>
  <si>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</si>
  <si>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</si>
  <si>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</si>
  <si>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</si>
  <si>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</si>
  <si>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</si>
  <si>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</si>
  <si>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</si>
  <si>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</si>
  <si>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</si>
  <si>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</si>
  <si>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</si>
  <si>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</si>
  <si>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</si>
  <si>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</si>
  <si>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</si>
  <si>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</si>
  <si>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</si>
  <si>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</si>
  <si>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</si>
  <si>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</si>
  <si>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</si>
  <si>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</si>
  <si>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</si>
  <si>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</si>
  <si>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</si>
  <si>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</si>
  <si>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</si>
  <si>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</si>
  <si>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</si>
  <si>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</si>
  <si>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</si>
  <si>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</si>
  <si>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</si>
  <si>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</si>
  <si>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</si>
  <si>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</si>
  <si>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</si>
  <si>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</si>
  <si>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</si>
  <si>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</si>
  <si>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</si>
  <si>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</si>
  <si>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</si>
  <si>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</si>
  <si>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</si>
  <si>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</si>
  <si>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</si>
  <si>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</si>
  <si>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</si>
  <si>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</si>
  <si>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</si>
  <si>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</si>
  <si>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</si>
  <si>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</si>
  <si>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</si>
  <si>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</si>
  <si>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</si>
  <si>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</si>
  <si>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</si>
  <si>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</si>
  <si>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</si>
  <si>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</si>
  <si>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</si>
  <si>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</si>
  <si>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</si>
  <si>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</si>
  <si>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</si>
  <si>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</si>
  <si>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</si>
  <si>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</si>
  <si>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</si>
  <si>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</si>
  <si>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</si>
  <si>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</si>
  <si>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</si>
  <si>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</si>
  <si>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</si>
  <si>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</si>
  <si>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</si>
  <si>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</si>
  <si>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</si>
  <si>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</si>
  <si>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</si>
  <si>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</si>
  <si>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</si>
  <si>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</si>
  <si>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</si>
  <si>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</si>
  <si>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</si>
  <si>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</si>
  <si>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</si>
  <si>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</si>
  <si>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</si>
  <si>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</si>
  <si>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</si>
  <si>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</si>
  <si>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</si>
  <si>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</si>
  <si>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</si>
  <si>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</si>
  <si>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</si>
  <si>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</si>
  <si>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</si>
  <si>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</si>
  <si>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</si>
  <si>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</si>
  <si>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</si>
  <si>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</si>
  <si>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</si>
  <si>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</si>
  <si>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</si>
  <si>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</si>
  <si>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</si>
  <si>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</si>
  <si>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</si>
  <si>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</si>
  <si>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</si>
  <si>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</si>
  <si>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</si>
  <si>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</si>
  <si>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</si>
  <si>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</si>
  <si>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</si>
  <si>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</si>
  <si>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</si>
  <si>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</si>
  <si>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</si>
  <si>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</si>
  <si>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</si>
  <si>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</si>
  <si>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</si>
  <si>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</si>
  <si>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</si>
  <si>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</si>
  <si>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</si>
  <si>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</si>
  <si>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</si>
  <si>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</si>
  <si>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</si>
  <si>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</si>
  <si>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</si>
  <si>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</si>
  <si>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</si>
  <si>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</si>
  <si>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</si>
  <si>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</si>
  <si>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</si>
  <si>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</si>
  <si>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</si>
  <si>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</si>
  <si>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</si>
  <si>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</si>
  <si>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</si>
  <si>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</si>
  <si>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</si>
  <si>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</si>
  <si>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</si>
  <si>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</si>
  <si>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</si>
  <si>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</si>
  <si>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</si>
  <si>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</si>
  <si>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</si>
  <si>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</si>
  <si>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</si>
  <si>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</si>
  <si>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</si>
  <si>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</si>
  <si>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</si>
  <si>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</si>
  <si>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</si>
  <si>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</si>
  <si>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</si>
  <si>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</si>
  <si>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</si>
  <si>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</si>
  <si>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</si>
  <si>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</si>
  <si>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</si>
  <si>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</si>
  <si>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</si>
  <si>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</si>
  <si>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</si>
  <si>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</si>
  <si>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</si>
  <si>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</si>
  <si>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</si>
  <si>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</si>
  <si>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</si>
  <si>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</si>
  <si>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</si>
  <si>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</si>
  <si>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</si>
  <si>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</si>
  <si>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</si>
  <si>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</si>
  <si>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</si>
  <si>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</si>
  <si>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</si>
  <si>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</si>
  <si>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</si>
  <si>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</si>
  <si>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</si>
  <si>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</si>
  <si>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</si>
  <si>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</si>
  <si>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</si>
  <si>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</si>
  <si>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</si>
  <si>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</si>
  <si>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</si>
  <si>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</si>
  <si>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</si>
  <si>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</si>
  <si>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</si>
  <si>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</si>
  <si>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</si>
  <si>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</si>
  <si>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</si>
  <si>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</si>
  <si>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</si>
  <si>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</si>
  <si>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</si>
  <si>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</si>
  <si>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</si>
  <si>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</si>
  <si>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</si>
  <si>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</si>
  <si>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</si>
  <si>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</si>
  <si>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</si>
  <si>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</si>
  <si>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</si>
  <si>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</si>
  <si>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</si>
  <si>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</si>
  <si>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</si>
  <si>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</si>
  <si>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</si>
  <si>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</si>
  <si>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</si>
  <si>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</si>
  <si>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</si>
  <si>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</si>
  <si>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</si>
  <si>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</si>
  <si>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</si>
  <si>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</si>
  <si>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</si>
  <si>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</si>
  <si>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</si>
  <si>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</si>
  <si>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</si>
  <si>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</si>
  <si>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</si>
  <si>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</si>
  <si>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</si>
  <si>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</si>
  <si>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</si>
  <si>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</si>
  <si>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</si>
  <si>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</si>
  <si>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</si>
  <si>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</si>
  <si>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</si>
  <si>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</si>
  <si>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</si>
  <si>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</si>
  <si>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</si>
  <si>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</si>
  <si>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</si>
  <si>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</si>
  <si>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</si>
  <si>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</si>
  <si>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</si>
  <si>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</si>
  <si>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</si>
  <si>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</si>
  <si>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</si>
  <si>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</si>
  <si>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</si>
  <si>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</si>
  <si>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</si>
  <si>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</si>
  <si>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</si>
  <si>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</si>
  <si>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</si>
  <si>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</si>
  <si>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</si>
  <si>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</si>
  <si>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</si>
  <si>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</si>
  <si>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</si>
  <si>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</si>
  <si>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</si>
  <si>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</si>
  <si>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</si>
  <si>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</si>
  <si>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</si>
  <si>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</si>
  <si>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</si>
  <si>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</si>
  <si>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</si>
  <si>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</si>
  <si>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</si>
  <si>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</si>
  <si>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</si>
  <si>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</si>
  <si>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</si>
  <si>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</si>
  <si>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</si>
  <si>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</si>
  <si>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</si>
  <si>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</si>
  <si>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</si>
  <si>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</si>
  <si>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</si>
  <si>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</si>
  <si>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</si>
  <si>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</si>
  <si>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</si>
  <si>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</si>
  <si>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</si>
  <si>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</si>
  <si>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</si>
  <si>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</si>
  <si>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</si>
  <si>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</si>
  <si>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</si>
  <si>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</si>
  <si>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</si>
  <si>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</si>
  <si>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</si>
  <si>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</si>
  <si>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</si>
  <si>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</si>
  <si>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</si>
  <si>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</si>
  <si>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</si>
  <si>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</si>
  <si>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</si>
  <si>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</si>
  <si>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</si>
  <si>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</si>
  <si>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</si>
  <si>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</si>
  <si>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</si>
  <si>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</si>
  <si>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</si>
  <si>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</si>
  <si>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</si>
  <si>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</si>
  <si>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</si>
  <si>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</si>
  <si>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</si>
  <si>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</si>
  <si>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</si>
  <si>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</si>
  <si>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</si>
  <si>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</si>
  <si>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</si>
  <si>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</si>
  <si>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</si>
  <si>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</si>
  <si>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</si>
  <si>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</si>
  <si>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</si>
  <si>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</si>
  <si>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</si>
  <si>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</si>
  <si>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</si>
  <si>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</si>
  <si>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</si>
  <si>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</si>
  <si>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</si>
  <si>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</si>
  <si>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</si>
  <si>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</si>
  <si>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</si>
  <si>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</si>
  <si>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</si>
  <si>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</si>
  <si>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</si>
  <si>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</si>
  <si>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</si>
  <si>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</si>
  <si>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</si>
  <si>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</si>
  <si>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</si>
  <si>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</si>
  <si>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</si>
  <si>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</si>
  <si>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</si>
  <si>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</si>
  <si>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</si>
  <si>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</si>
  <si>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</si>
  <si>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</si>
  <si>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</si>
  <si>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</si>
  <si>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</si>
  <si>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</si>
  <si>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</si>
  <si>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</si>
  <si>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</si>
  <si>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</si>
  <si>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</si>
  <si>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</si>
  <si>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</si>
  <si>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</si>
  <si>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</si>
  <si>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</si>
  <si>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</si>
  <si>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</si>
  <si>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</si>
  <si>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</si>
  <si>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</si>
  <si>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</si>
  <si>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</si>
  <si>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</si>
  <si>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</si>
  <si>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</si>
  <si>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</si>
  <si>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</si>
  <si>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</si>
  <si>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</si>
  <si>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</si>
  <si>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</si>
  <si>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</si>
  <si>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</si>
  <si>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</si>
  <si>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</si>
  <si>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</si>
  <si>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</si>
  <si>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</si>
  <si>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</si>
  <si>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</si>
  <si>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</si>
  <si>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</si>
  <si>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</si>
  <si>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</si>
  <si>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</si>
  <si>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</si>
  <si>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</si>
  <si>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</si>
  <si>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</si>
  <si>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</si>
  <si>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</si>
  <si>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</si>
  <si>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</si>
  <si>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</si>
  <si>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</si>
  <si>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</si>
  <si>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</si>
  <si>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</si>
  <si>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</si>
  <si>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</si>
  <si>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</si>
  <si>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</si>
  <si>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</si>
  <si>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</si>
  <si>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</si>
  <si>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</si>
  <si>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</si>
  <si>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</si>
  <si>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</si>
  <si>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</si>
  <si>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</si>
  <si>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</si>
  <si>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</si>
  <si>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</si>
  <si>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</si>
  <si>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</si>
  <si>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</si>
  <si>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</si>
  <si>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</si>
  <si>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</si>
  <si>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</si>
  <si>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</si>
  <si>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</si>
  <si>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</si>
  <si>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</si>
  <si>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</si>
  <si>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</si>
  <si>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</si>
  <si>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</si>
  <si>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</si>
  <si>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</si>
  <si>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</si>
  <si>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</si>
  <si>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</si>
  <si>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</si>
  <si>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</si>
  <si>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</si>
  <si>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</si>
  <si>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</si>
  <si>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</si>
  <si>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</si>
  <si>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</si>
  <si>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</si>
  <si>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</si>
  <si>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</si>
  <si>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</si>
  <si>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</si>
  <si>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</si>
  <si>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</si>
  <si>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</si>
  <si>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</si>
  <si>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</si>
  <si>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</si>
  <si>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</si>
  <si>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</si>
  <si>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</si>
  <si>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</si>
  <si>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</si>
  <si>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</si>
  <si>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</si>
  <si>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</si>
  <si>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</si>
  <si>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</si>
  <si>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</si>
  <si>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</si>
  <si>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</si>
  <si>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</si>
  <si>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</si>
  <si>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</si>
  <si>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</si>
  <si>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</si>
  <si>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</si>
  <si>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</si>
  <si>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</si>
  <si>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</si>
  <si>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</si>
  <si>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</si>
  <si>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</si>
  <si>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</si>
  <si>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</si>
  <si>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</si>
  <si>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</si>
  <si>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</si>
  <si>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</si>
  <si>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</si>
  <si>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</si>
  <si>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</si>
  <si>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</si>
  <si>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</si>
  <si>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</si>
  <si>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</si>
  <si>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</si>
  <si>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</si>
  <si>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</si>
  <si>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</si>
  <si>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</si>
  <si>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</si>
  <si>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</si>
  <si>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</si>
  <si>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</si>
  <si>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</si>
  <si>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</si>
  <si>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</si>
  <si>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</si>
  <si>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</si>
  <si>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</si>
  <si>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</si>
  <si>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</si>
  <si>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</si>
  <si>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</si>
  <si>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</si>
  <si>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</si>
  <si>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</si>
  <si>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</si>
  <si>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</si>
  <si>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</si>
  <si>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</si>
  <si>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</si>
  <si>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</si>
  <si>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</si>
  <si>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</si>
  <si>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</si>
  <si>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</si>
  <si>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</si>
  <si>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</si>
  <si>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</si>
  <si>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</si>
  <si>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</si>
  <si>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</si>
  <si>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</si>
  <si>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</si>
  <si>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</si>
  <si>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</si>
  <si>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</si>
  <si>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</si>
  <si>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</si>
  <si>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</si>
  <si>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</si>
  <si>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</si>
  <si>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</si>
  <si>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</si>
  <si>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</si>
  <si>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</si>
  <si>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</si>
  <si>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</si>
  <si>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</si>
  <si>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</si>
  <si>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</si>
  <si>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</si>
  <si>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</si>
  <si>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</si>
  <si>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</si>
  <si>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</si>
  <si>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</si>
  <si>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</si>
  <si>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</si>
  <si>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</si>
  <si>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</si>
  <si>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</si>
  <si>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</si>
  <si>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</si>
  <si>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</si>
  <si>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</si>
  <si>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</si>
  <si>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</si>
  <si>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</si>
  <si>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</si>
  <si>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</si>
  <si>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</si>
  <si>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</si>
  <si>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</si>
  <si>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</si>
  <si>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</si>
  <si>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</si>
  <si>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</si>
  <si>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</si>
  <si>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</si>
  <si>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</si>
  <si>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</si>
  <si>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</si>
  <si>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</si>
  <si>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</si>
  <si>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</si>
  <si>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</si>
  <si>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</si>
  <si>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</si>
  <si>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</si>
  <si>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</si>
  <si>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</si>
  <si>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</si>
  <si>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</si>
  <si>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</si>
  <si>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</si>
  <si>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</si>
  <si>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</si>
  <si>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</si>
  <si>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</si>
  <si>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</si>
  <si>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</si>
  <si>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</si>
  <si>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</si>
  <si>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</si>
  <si>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</si>
  <si>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</si>
  <si>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</si>
  <si>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</si>
  <si>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</si>
  <si>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</si>
  <si>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</si>
  <si>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</si>
  <si>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</si>
  <si>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</si>
  <si>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</si>
  <si>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</si>
  <si>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</si>
  <si>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</si>
  <si>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</si>
  <si>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</si>
  <si>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</si>
  <si>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</si>
  <si>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</si>
  <si>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</si>
  <si>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</si>
  <si>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</si>
  <si>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</si>
  <si>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</si>
  <si>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</si>
  <si>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</si>
  <si>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</si>
  <si>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</si>
  <si>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</si>
  <si>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</si>
  <si>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</si>
  <si>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</si>
  <si>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</si>
  <si>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</si>
  <si>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</si>
  <si>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</si>
  <si>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</si>
  <si>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</si>
  <si>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</si>
  <si>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</si>
  <si>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</si>
  <si>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</si>
  <si>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</si>
  <si>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</si>
  <si>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</si>
  <si>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</si>
  <si>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</si>
  <si>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</si>
  <si>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</si>
  <si>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</si>
  <si>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</si>
  <si>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</si>
  <si>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</si>
  <si>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</si>
  <si>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</si>
  <si>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</si>
  <si>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</si>
  <si>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</si>
  <si>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</si>
  <si>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</si>
  <si>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</si>
  <si>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</si>
  <si>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</si>
  <si>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</si>
  <si>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</si>
  <si>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</si>
  <si>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</si>
  <si>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</si>
  <si>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</si>
  <si>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</si>
  <si>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</si>
  <si>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</si>
  <si>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</si>
  <si>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</si>
  <si>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</si>
  <si>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</si>
  <si>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</si>
  <si>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</si>
  <si>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</si>
  <si>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</si>
  <si>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</si>
  <si>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</si>
  <si>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</si>
  <si>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</si>
  <si>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</si>
  <si>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</si>
  <si>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</si>
  <si>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</si>
  <si>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</si>
  <si>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</si>
  <si>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</si>
  <si>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</si>
  <si>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</si>
  <si>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</si>
  <si>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</si>
  <si>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</si>
  <si>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</si>
  <si>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</si>
  <si>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</si>
  <si>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</si>
  <si>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</si>
  <si>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</si>
  <si>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</si>
  <si>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</si>
  <si>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</si>
  <si>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</si>
  <si>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</si>
  <si>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</si>
  <si>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</si>
  <si>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</si>
  <si>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</si>
  <si>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</si>
  <si>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</si>
  <si>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</si>
  <si>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</si>
  <si>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</si>
  <si>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</si>
  <si>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</si>
  <si>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</si>
  <si>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</si>
  <si>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</si>
  <si>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</si>
  <si>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</si>
  <si>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</si>
  <si>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</si>
  <si>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</si>
  <si>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</si>
  <si>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</si>
  <si>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</si>
  <si>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</si>
  <si>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</si>
  <si>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</si>
  <si>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</si>
  <si>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</si>
  <si>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</si>
  <si>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</si>
  <si>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</si>
  <si>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</si>
  <si>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</si>
  <si>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</si>
  <si>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</si>
  <si>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</si>
  <si>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</si>
  <si>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</si>
  <si>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</si>
  <si>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</si>
  <si>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</si>
  <si>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</si>
  <si>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</si>
  <si>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</si>
  <si>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</si>
  <si>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</si>
  <si>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</si>
  <si>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</si>
  <si>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</si>
  <si>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</si>
  <si>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</si>
  <si>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</si>
  <si>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</si>
  <si>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</si>
  <si>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</si>
  <si>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</si>
  <si>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</si>
  <si>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</si>
  <si>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</si>
  <si>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</si>
  <si>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</si>
  <si>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</si>
  <si>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</si>
  <si>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</si>
  <si>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</si>
  <si>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</si>
  <si>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</si>
  <si>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</si>
  <si>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</si>
  <si>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</si>
  <si>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</si>
  <si>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</si>
  <si>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</si>
  <si>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</si>
  <si>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</si>
  <si>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</si>
  <si>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</si>
  <si>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</si>
  <si>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</si>
  <si>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</si>
  <si>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</si>
  <si>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</si>
  <si>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</si>
  <si>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</si>
  <si>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</si>
  <si>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</si>
  <si>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</si>
  <si>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</si>
  <si>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</si>
  <si>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</si>
  <si>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</si>
  <si>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</si>
  <si>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</si>
  <si>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</si>
  <si>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</si>
  <si>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</si>
  <si>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</si>
  <si>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</si>
  <si>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</si>
  <si>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</si>
  <si>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</si>
  <si>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</si>
  <si>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</si>
  <si>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</si>
  <si>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</si>
  <si>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</si>
  <si>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</si>
  <si>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</si>
  <si>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</si>
  <si>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</si>
  <si>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</si>
  <si>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</si>
  <si>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</si>
  <si>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</si>
  <si>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</si>
  <si>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</si>
  <si>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</si>
  <si>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</si>
  <si>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</si>
  <si>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</si>
  <si>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</si>
  <si>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</si>
  <si>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</si>
  <si>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</si>
  <si>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</si>
  <si>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</si>
  <si>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</si>
  <si>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</si>
  <si>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</si>
  <si>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</si>
  <si>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</si>
  <si>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</si>
  <si>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</si>
  <si>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</si>
  <si>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</si>
  <si>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</si>
  <si>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</si>
  <si>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</si>
  <si>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</si>
  <si>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</si>
  <si>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</si>
  <si>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</si>
  <si>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</si>
  <si>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</si>
  <si>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</si>
  <si>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</si>
  <si>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</si>
  <si>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</si>
  <si>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</si>
  <si>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</si>
  <si>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</si>
  <si>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</si>
  <si>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</si>
  <si>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</si>
  <si>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</si>
  <si>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</si>
  <si>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</si>
  <si>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</si>
  <si>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</si>
  <si>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</si>
  <si>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</si>
  <si>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</si>
  <si>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</si>
  <si>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</si>
  <si>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</si>
  <si>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</si>
  <si>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</si>
  <si>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</si>
  <si>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</si>
  <si>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</si>
  <si>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</si>
  <si>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</si>
  <si>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</si>
  <si>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</si>
  <si>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</si>
  <si>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</si>
  <si>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</si>
  <si>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</si>
  <si>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</si>
  <si>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</si>
  <si>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</si>
  <si>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</si>
  <si>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</si>
  <si>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</si>
  <si>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</si>
  <si>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</si>
  <si>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</si>
  <si>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</si>
  <si>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</si>
  <si>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</si>
  <si>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</si>
  <si>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</si>
  <si>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</si>
  <si>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</si>
  <si>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</si>
  <si>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</si>
  <si>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</si>
  <si>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</si>
  <si>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</si>
  <si>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</si>
  <si>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</si>
  <si>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</si>
  <si>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</si>
  <si>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</si>
  <si>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</si>
  <si>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</si>
  <si>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</si>
  <si>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</si>
  <si>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</si>
  <si>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</si>
  <si>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</si>
  <si>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</si>
  <si>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</si>
  <si>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</si>
  <si>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</si>
  <si>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</si>
  <si>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</si>
  <si>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</si>
  <si>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</si>
  <si>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</si>
  <si>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</si>
  <si>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</si>
  <si>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</si>
  <si>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</si>
  <si>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</si>
  <si>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</si>
  <si>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</si>
  <si>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</si>
  <si>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</si>
  <si>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</si>
  <si>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</si>
  <si>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</si>
  <si>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</si>
  <si>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</si>
  <si>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</si>
  <si>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</si>
  <si>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</si>
  <si>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</si>
  <si>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</si>
  <si>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</si>
  <si>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</si>
  <si>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</si>
  <si>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</si>
  <si>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</si>
  <si>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</si>
  <si>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</si>
  <si>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</si>
  <si>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</si>
  <si>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</si>
  <si>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</si>
  <si>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</si>
  <si>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</si>
  <si>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</si>
  <si>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</si>
  <si>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</si>
  <si>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</si>
  <si>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</si>
  <si>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</si>
  <si>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</si>
  <si>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</si>
  <si>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</si>
  <si>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</si>
  <si>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</si>
  <si>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</si>
  <si>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</si>
  <si>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</si>
  <si>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</si>
  <si>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</si>
  <si>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</si>
  <si>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</si>
  <si>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</si>
  <si>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</si>
  <si>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</si>
  <si>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</si>
  <si>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</si>
  <si>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</si>
  <si>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</si>
  <si>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</si>
  <si>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</si>
  <si>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</si>
  <si>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</si>
  <si>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</si>
  <si>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</si>
  <si>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</si>
  <si>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</si>
  <si>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</si>
  <si>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</si>
  <si>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</si>
  <si>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</si>
  <si>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</si>
  <si>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</si>
  <si>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</si>
  <si>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</si>
  <si>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</si>
  <si>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</si>
  <si>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</si>
  <si>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</si>
  <si>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</si>
  <si>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</si>
  <si>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</si>
  <si>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</si>
  <si>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</si>
  <si>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</si>
  <si>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</si>
  <si>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</si>
  <si>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</si>
  <si>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</si>
  <si>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</si>
  <si>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</si>
  <si>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</si>
  <si>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</si>
  <si>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</si>
  <si>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</si>
  <si>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</si>
  <si>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</si>
  <si>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</si>
  <si>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</si>
  <si>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</si>
  <si>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</si>
  <si>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</si>
  <si>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</si>
  <si>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</si>
  <si>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</si>
  <si>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</si>
  <si>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</si>
  <si>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</si>
  <si>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</si>
  <si>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</si>
  <si>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</si>
  <si>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</si>
  <si>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</si>
  <si>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</si>
  <si>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</si>
  <si>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</si>
  <si>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</si>
  <si>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</si>
  <si>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</si>
  <si>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</si>
  <si>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</si>
  <si>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</si>
  <si>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</si>
  <si>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</si>
  <si>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</si>
  <si>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</si>
  <si>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</si>
  <si>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</si>
  <si>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</si>
  <si>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</si>
  <si>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</si>
  <si>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</si>
  <si>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</si>
  <si>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</si>
  <si>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</si>
  <si>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</si>
  <si>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</si>
  <si>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</si>
  <si>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</si>
  <si>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</si>
  <si>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</si>
  <si>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</si>
  <si>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</si>
  <si>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</si>
  <si>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</si>
  <si>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</si>
  <si>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</si>
  <si>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</si>
  <si>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</si>
  <si>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</si>
  <si>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</si>
  <si>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</si>
  <si>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</si>
  <si>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</si>
  <si>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</si>
  <si>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</si>
  <si>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</si>
  <si>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</si>
  <si>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</si>
  <si>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</si>
  <si>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</si>
  <si>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</si>
  <si>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</si>
  <si>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</si>
  <si>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</si>
  <si>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</si>
  <si>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</si>
  <si>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</si>
  <si>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</si>
  <si>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</si>
  <si>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</si>
  <si>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</si>
  <si>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</si>
  <si>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</si>
  <si>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</si>
  <si>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</si>
  <si>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</si>
  <si>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</si>
  <si>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</si>
  <si>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</si>
  <si>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</si>
  <si>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</si>
  <si>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</si>
  <si>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</si>
  <si>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</si>
  <si>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</si>
  <si>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</si>
  <si>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</si>
  <si>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</si>
  <si>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</si>
  <si>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</si>
  <si>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</si>
  <si>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</si>
  <si>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</si>
  <si>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</si>
  <si>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</si>
  <si>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</si>
  <si>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</si>
  <si>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</si>
  <si>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</si>
  <si>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</si>
  <si>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</si>
  <si>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</si>
  <si>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</si>
  <si>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</si>
  <si>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</si>
  <si>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</si>
  <si>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</si>
  <si>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</si>
  <si>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</si>
  <si>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</si>
  <si>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</si>
  <si>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</si>
  <si>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</si>
  <si>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</si>
  <si>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</si>
  <si>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</si>
  <si>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</si>
  <si>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</si>
  <si>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</si>
  <si>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</si>
  <si>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</si>
  <si>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</si>
  <si>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</si>
  <si>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</si>
  <si>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</si>
  <si>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</si>
  <si>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</si>
  <si>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</si>
  <si>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</si>
  <si>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</si>
  <si>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</si>
  <si>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</si>
  <si>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</si>
  <si>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</si>
  <si>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</si>
  <si>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</si>
  <si>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</si>
  <si>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</si>
  <si>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</si>
  <si>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</si>
  <si>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</si>
  <si>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</si>
  <si>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</si>
  <si>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</si>
  <si>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</si>
  <si>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</si>
  <si>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</si>
  <si>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</si>
  <si>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</si>
  <si>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</si>
  <si>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</si>
  <si>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</si>
  <si>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</si>
  <si>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</si>
  <si>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</si>
  <si>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</si>
  <si>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</si>
  <si>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</si>
  <si>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</si>
  <si>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</si>
  <si>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</si>
  <si>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</si>
  <si>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</si>
  <si>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</si>
  <si>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</si>
  <si>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</si>
  <si>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</si>
  <si>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</si>
  <si>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</si>
  <si>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</si>
  <si>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</si>
  <si>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</si>
  <si>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</si>
  <si>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</si>
  <si>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</si>
  <si>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</si>
  <si>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</si>
  <si>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</si>
  <si>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</si>
  <si>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</si>
  <si>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</si>
  <si>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</si>
  <si>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</si>
  <si>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</si>
  <si>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</si>
  <si>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</si>
  <si>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</si>
  <si>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</si>
  <si>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</si>
  <si>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</si>
  <si>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</si>
  <si>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</si>
  <si>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</si>
  <si>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</si>
  <si>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</si>
  <si>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</si>
  <si>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</si>
  <si>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</si>
  <si>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</si>
  <si>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</si>
  <si>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</si>
  <si>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</si>
  <si>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</si>
  <si>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</si>
  <si>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</si>
  <si>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</si>
  <si>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</si>
  <si>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</si>
  <si>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</si>
  <si>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</si>
  <si>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</si>
  <si>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</si>
  <si>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</si>
  <si>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</si>
  <si>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</si>
  <si>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</si>
  <si>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</si>
  <si>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</si>
  <si>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</si>
  <si>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</si>
  <si>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</si>
  <si>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</si>
  <si>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</si>
  <si>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</si>
  <si>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</si>
  <si>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</si>
  <si>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</si>
  <si>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</si>
  <si>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</si>
  <si>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</si>
  <si>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</si>
  <si>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</si>
  <si>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</si>
  <si>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</si>
  <si>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</si>
  <si>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</si>
  <si>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</si>
  <si>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</si>
  <si>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</si>
  <si>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</si>
  <si>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</si>
  <si>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</si>
  <si>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</si>
  <si>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</si>
  <si>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</si>
  <si>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</si>
  <si>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</si>
  <si>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</si>
  <si>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</si>
  <si>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</si>
  <si>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</si>
  <si>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</si>
  <si>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</si>
  <si>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</si>
  <si>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</si>
  <si>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</si>
  <si>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</si>
  <si>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</si>
  <si>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</si>
  <si>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</si>
  <si>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</si>
  <si>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</si>
  <si>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</si>
  <si>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</si>
  <si>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</si>
  <si>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</si>
  <si>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</si>
  <si>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</si>
  <si>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</si>
  <si>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</si>
  <si>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</si>
  <si>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</si>
  <si>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</si>
  <si>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</si>
  <si>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</si>
  <si>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</si>
  <si>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</si>
  <si>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</si>
  <si>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</si>
  <si>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</si>
  <si>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</si>
  <si>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</si>
  <si>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</si>
  <si>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</si>
  <si>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</si>
  <si>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</si>
  <si>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</si>
  <si>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</si>
  <si>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</si>
  <si>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</si>
  <si>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</si>
  <si>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</si>
  <si>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</si>
  <si>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</si>
  <si>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</si>
  <si>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</si>
  <si>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</si>
  <si>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</si>
  <si>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</si>
  <si>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</si>
  <si>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</si>
  <si>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</si>
  <si>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</si>
  <si>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</si>
  <si>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</si>
  <si>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</si>
  <si>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</si>
  <si>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</si>
  <si>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</si>
  <si>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</si>
  <si>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</si>
  <si>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</si>
  <si>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</si>
  <si>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</si>
  <si>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</si>
  <si>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</si>
  <si>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</si>
  <si>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</si>
  <si>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</si>
  <si>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</si>
  <si>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</si>
  <si>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</si>
  <si>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</si>
  <si>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</si>
  <si>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</si>
  <si>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</si>
  <si>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</si>
  <si>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</si>
  <si>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</si>
  <si>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</si>
  <si>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</si>
  <si>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</si>
  <si>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</si>
  <si>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</si>
  <si>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</si>
  <si>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</si>
  <si>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</si>
  <si>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</si>
  <si>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</si>
  <si>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</si>
  <si>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</si>
  <si>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</si>
  <si>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</si>
  <si>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</si>
  <si>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</si>
  <si>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</si>
  <si>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</si>
  <si>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</si>
  <si>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</si>
  <si>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</si>
  <si>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</si>
  <si>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</si>
  <si>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</si>
  <si>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</si>
  <si>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</si>
  <si>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</si>
  <si>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</si>
  <si>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</si>
  <si>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</si>
  <si>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</si>
  <si>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</si>
  <si>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</si>
  <si>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</si>
  <si>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</si>
  <si>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</si>
  <si>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</si>
  <si>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</si>
  <si>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</si>
  <si>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</si>
  <si>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</si>
  <si>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</si>
  <si>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</si>
  <si>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</si>
  <si>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</si>
  <si>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</si>
  <si>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</si>
  <si>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</si>
  <si>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</si>
  <si>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</si>
  <si>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</si>
  <si>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</si>
  <si>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</si>
  <si>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</si>
  <si>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</si>
  <si>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</si>
  <si>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</si>
  <si>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</si>
  <si>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</si>
  <si>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</si>
  <si>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</si>
  <si>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</si>
  <si>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</si>
  <si>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</si>
  <si>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</si>
  <si>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</si>
  <si>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</si>
  <si>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</si>
  <si>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</si>
  <si>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</si>
  <si>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</si>
  <si>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</si>
  <si>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</si>
  <si>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</si>
  <si>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</si>
  <si>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</si>
  <si>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</si>
  <si>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</si>
  <si>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</si>
  <si>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</si>
  <si>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</si>
  <si>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</si>
  <si>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</si>
  <si>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</si>
  <si>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</si>
  <si>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</si>
  <si>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</si>
  <si>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</si>
  <si>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</si>
  <si>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</si>
  <si>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</si>
  <si>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</si>
  <si>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</si>
  <si>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</si>
  <si>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</si>
  <si>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</si>
  <si>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</si>
  <si>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</si>
  <si>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</si>
  <si>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</si>
  <si>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</si>
  <si>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</si>
  <si>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</si>
  <si>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</si>
  <si>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</si>
  <si>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</si>
  <si>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</si>
  <si>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</si>
  <si>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</si>
  <si>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</si>
  <si>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</si>
  <si>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</si>
  <si>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</si>
  <si>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</si>
  <si>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</si>
  <si>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</si>
  <si>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</si>
  <si>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</si>
  <si>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</si>
  <si>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</si>
  <si>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</si>
  <si>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</si>
  <si>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</si>
  <si>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</si>
  <si>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</si>
  <si>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</si>
  <si>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</si>
  <si>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</si>
  <si>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</si>
  <si>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</si>
  <si>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</si>
  <si>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</si>
  <si>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</si>
  <si>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</si>
  <si>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</si>
  <si>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</si>
  <si>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</si>
  <si>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</si>
  <si>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</si>
  <si>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</si>
  <si>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</si>
  <si>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</si>
  <si>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</si>
  <si>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</si>
  <si>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</si>
  <si>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</si>
  <si>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</si>
  <si>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</si>
  <si>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</si>
  <si>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</si>
  <si>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</si>
  <si>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</si>
  <si>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</si>
  <si>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</si>
  <si>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</si>
  <si>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</si>
  <si>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</si>
  <si>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</si>
  <si>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</si>
  <si>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</si>
  <si>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</si>
  <si>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</si>
  <si>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</si>
  <si>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</si>
  <si>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</si>
  <si>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</si>
  <si>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</si>
  <si>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</si>
  <si>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</si>
  <si>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</si>
  <si>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</si>
  <si>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</si>
  <si>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</si>
  <si>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</si>
  <si>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</si>
  <si>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</si>
  <si>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</si>
  <si>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</si>
  <si>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</si>
  <si>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</si>
  <si>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</si>
  <si>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</si>
  <si>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</si>
  <si>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</si>
  <si>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</si>
  <si>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</si>
  <si>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</si>
  <si>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</si>
  <si>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</si>
  <si>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</si>
  <si>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</si>
  <si>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</si>
  <si>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</si>
  <si>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</si>
  <si>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</si>
  <si>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</si>
  <si>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</si>
  <si>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</si>
  <si>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</si>
  <si>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</si>
  <si>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</si>
  <si>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</si>
  <si>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</si>
  <si>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</si>
  <si>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</si>
  <si>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</si>
  <si>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</si>
  <si>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</si>
  <si>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</si>
  <si>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</si>
  <si>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</si>
  <si>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</si>
  <si>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</si>
  <si>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</si>
  <si>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</si>
  <si>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</si>
  <si>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</si>
  <si>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</si>
  <si>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</si>
  <si>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</si>
  <si>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</si>
  <si>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</si>
  <si>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</si>
  <si>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</si>
  <si>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</si>
  <si>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</si>
  <si>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</si>
  <si>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</si>
  <si>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</si>
  <si>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</si>
  <si>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</si>
  <si>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</si>
  <si>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</si>
  <si>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</si>
  <si>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</si>
  <si>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</si>
  <si>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</si>
  <si>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</si>
  <si>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</si>
  <si>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</si>
  <si>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</si>
  <si>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</si>
  <si>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</si>
  <si>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</si>
  <si>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</si>
  <si>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</si>
  <si>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</si>
  <si>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</si>
  <si>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</si>
  <si>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</si>
  <si>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</si>
  <si>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</si>
  <si>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</si>
  <si>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</si>
  <si>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</si>
  <si>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</si>
  <si>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</si>
  <si>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</si>
  <si>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</si>
  <si>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</si>
  <si>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</si>
  <si>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</si>
  <si>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</si>
  <si>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</si>
  <si>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</si>
  <si>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</si>
  <si>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</si>
  <si>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</si>
  <si>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</si>
  <si>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</si>
  <si>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</si>
  <si>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</si>
  <si>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</si>
  <si>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</si>
  <si>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</si>
  <si>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</si>
  <si>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</si>
  <si>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</si>
  <si>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</si>
  <si>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</si>
  <si>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</si>
  <si>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</si>
  <si>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</si>
  <si>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</si>
  <si>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</si>
  <si>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</si>
  <si>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</si>
  <si>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</si>
  <si>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</si>
  <si>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</si>
  <si>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</si>
  <si>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</si>
  <si>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</si>
  <si>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</si>
  <si>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</si>
  <si>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</si>
  <si>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</si>
  <si>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</si>
  <si>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</si>
  <si>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</si>
  <si>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</si>
  <si>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</si>
  <si>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</si>
  <si>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</si>
  <si>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</si>
  <si>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</si>
  <si>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</si>
  <si>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</si>
  <si>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</si>
  <si>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</si>
  <si>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</si>
  <si>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</si>
  <si>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</si>
  <si>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</si>
  <si>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</si>
  <si>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</si>
  <si>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</si>
  <si>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</si>
  <si>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</si>
  <si>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</si>
  <si>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</si>
  <si>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</si>
  <si>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</si>
  <si>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</si>
  <si>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</si>
  <si>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</si>
  <si>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</si>
  <si>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</si>
  <si>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</si>
  <si>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</si>
  <si>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</si>
  <si>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</si>
  <si>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</si>
  <si>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</si>
  <si>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</si>
  <si>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</si>
  <si>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</si>
  <si>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</si>
  <si>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</si>
  <si>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</si>
  <si>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</si>
  <si>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</si>
  <si>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</si>
  <si>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</si>
  <si>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</si>
  <si>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</si>
  <si>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</si>
  <si>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</si>
  <si>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</si>
  <si>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</si>
  <si>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</si>
  <si>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</si>
  <si>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</si>
  <si>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</si>
  <si>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</si>
  <si>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</si>
  <si>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</si>
  <si>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</si>
  <si>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</si>
  <si>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</si>
  <si>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</si>
  <si>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</si>
  <si>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</si>
  <si>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</si>
  <si>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</si>
  <si>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</si>
  <si>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</si>
  <si>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</si>
  <si>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</si>
  <si>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</si>
  <si>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</si>
  <si>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</si>
  <si>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</si>
  <si>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</si>
  <si>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</si>
  <si>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</si>
  <si>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</si>
  <si>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</si>
  <si>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</si>
  <si>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</si>
  <si>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</si>
  <si>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</si>
  <si>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</si>
  <si>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</si>
  <si>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</si>
  <si>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</si>
  <si>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</si>
  <si>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</si>
  <si>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</si>
  <si>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</si>
  <si>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</si>
  <si>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</si>
  <si>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</si>
  <si>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</si>
  <si>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</si>
  <si>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</si>
  <si>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</si>
  <si>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</si>
  <si>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</si>
  <si>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</si>
  <si>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</si>
  <si>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</si>
  <si>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</si>
  <si>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</si>
  <si>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</si>
  <si>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</si>
  <si>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</si>
  <si>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</si>
  <si>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</si>
  <si>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</si>
  <si>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</si>
  <si>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</si>
  <si>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</si>
  <si>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</si>
  <si>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</si>
  <si>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</si>
  <si>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</si>
  <si>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</si>
  <si>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</si>
  <si>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</si>
  <si>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</si>
  <si>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</si>
  <si>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</si>
  <si>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</si>
  <si>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</si>
  <si>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</si>
  <si>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</si>
  <si>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</si>
  <si>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</si>
  <si>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</si>
  <si>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</si>
  <si>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</si>
  <si>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</si>
  <si>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</si>
  <si>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</si>
  <si>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</si>
  <si>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</si>
  <si>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</si>
  <si>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</si>
  <si>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</si>
  <si>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</si>
  <si>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</si>
  <si>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</si>
  <si>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</si>
  <si>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</si>
  <si>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</si>
  <si>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</si>
  <si>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</si>
  <si>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</si>
  <si>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</si>
  <si>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</si>
  <si>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</si>
  <si>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</si>
  <si>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</si>
  <si>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</si>
  <si>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</si>
  <si>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</si>
  <si>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</si>
  <si>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</si>
  <si>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</si>
  <si>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</si>
  <si>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</si>
  <si>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</si>
  <si>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</si>
  <si>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</si>
  <si>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</si>
  <si>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</si>
  <si>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</si>
  <si>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</si>
  <si>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</si>
  <si>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</si>
  <si>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</si>
  <si>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</si>
  <si>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</si>
  <si>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</si>
  <si>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</si>
  <si>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</si>
  <si>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</si>
  <si>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</si>
  <si>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</si>
  <si>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</si>
  <si>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</si>
  <si>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</si>
  <si>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</si>
  <si>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</si>
  <si>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</si>
  <si>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</si>
  <si>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</si>
  <si>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</si>
  <si>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</si>
  <si>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</si>
  <si>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</si>
  <si>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</si>
  <si>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</si>
  <si>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</si>
  <si>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</si>
  <si>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</si>
  <si>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</si>
  <si>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</si>
  <si>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</si>
  <si>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</si>
  <si>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</si>
  <si>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</si>
  <si>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</si>
  <si>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</si>
  <si>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</si>
  <si>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</si>
  <si>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</si>
  <si>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</si>
  <si>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</si>
  <si>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</si>
  <si>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</si>
  <si>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</si>
  <si>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</si>
  <si>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</si>
  <si>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</si>
  <si>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</si>
  <si>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</si>
  <si>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</si>
  <si>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</si>
  <si>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</si>
  <si>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</si>
  <si>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</si>
  <si>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</si>
  <si>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</si>
  <si>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</si>
  <si>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</si>
  <si>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</si>
  <si>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</si>
  <si>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</si>
  <si>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</si>
  <si>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</si>
  <si>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</si>
  <si>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</si>
  <si>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</si>
  <si>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</si>
  <si>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</si>
  <si>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</si>
  <si>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</si>
  <si>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</si>
  <si>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</si>
  <si>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</si>
  <si>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</si>
  <si>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</si>
  <si>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</si>
  <si>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</si>
  <si>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</si>
  <si>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</si>
  <si>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</si>
  <si>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</si>
  <si>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</si>
  <si>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</si>
  <si>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</si>
  <si>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</si>
  <si>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</si>
  <si>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</si>
  <si>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</si>
  <si>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</si>
  <si>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</si>
  <si>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</si>
  <si>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</si>
  <si>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</si>
  <si>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</si>
  <si>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</si>
  <si>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</si>
  <si>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</si>
  <si>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</si>
  <si>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</si>
  <si>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</si>
  <si>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</si>
  <si>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</si>
  <si>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</si>
  <si>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</si>
  <si>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</si>
  <si>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</si>
  <si>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</si>
  <si>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</si>
  <si>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</si>
  <si>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</si>
  <si>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</si>
  <si>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</si>
  <si>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</si>
  <si>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</si>
  <si>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</si>
  <si>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</si>
  <si>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</si>
  <si>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</si>
  <si>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</si>
  <si>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</si>
  <si>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</si>
  <si>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</si>
  <si>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</si>
  <si>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</si>
  <si>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</si>
  <si>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</si>
  <si>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</si>
  <si>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</si>
  <si>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</si>
  <si>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</si>
  <si>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</si>
  <si>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</si>
  <si>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</si>
  <si>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</si>
  <si>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</si>
  <si>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</si>
  <si>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</si>
  <si>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</si>
  <si>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</si>
  <si>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</si>
  <si>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</si>
  <si>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</si>
  <si>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</si>
  <si>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</si>
  <si>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</si>
  <si>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</si>
  <si>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</si>
  <si>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</si>
  <si>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</si>
  <si>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</si>
  <si>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</si>
  <si>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</si>
  <si>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</si>
  <si>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</si>
  <si>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</si>
  <si>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</si>
  <si>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</si>
  <si>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</si>
  <si>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</si>
  <si>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</si>
  <si>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</si>
  <si>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</si>
  <si>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</si>
  <si>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</si>
  <si>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</si>
  <si>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</si>
  <si>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</si>
  <si>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</si>
  <si>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</si>
  <si>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</si>
  <si>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</si>
  <si>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</si>
  <si>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</si>
  <si>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</si>
  <si>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</si>
  <si>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</si>
  <si>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</si>
  <si>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</si>
  <si>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</si>
  <si>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</si>
  <si>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</si>
  <si>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</si>
  <si>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</si>
  <si>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</si>
  <si>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</si>
  <si>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</si>
  <si>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</si>
  <si>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</si>
  <si>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</si>
  <si>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</si>
  <si>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</si>
  <si>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</si>
  <si>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</si>
  <si>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</si>
  <si>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</si>
  <si>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</si>
  <si>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</si>
  <si>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</si>
  <si>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</si>
  <si>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</si>
  <si>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</si>
  <si>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</si>
  <si>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</si>
  <si>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</si>
  <si>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</si>
  <si>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</si>
  <si>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</si>
  <si>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</si>
  <si>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</si>
  <si>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</si>
  <si>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</si>
  <si>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</si>
  <si>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</si>
  <si>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</si>
  <si>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</si>
  <si>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</si>
  <si>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</si>
  <si>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</si>
  <si>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</si>
  <si>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</si>
  <si>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</si>
  <si>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</si>
  <si>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</si>
  <si>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</si>
  <si>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</si>
  <si>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</si>
  <si>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</si>
  <si>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</si>
  <si>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</si>
  <si>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</si>
  <si>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</si>
  <si>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</si>
  <si>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</si>
  <si>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</si>
  <si>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</si>
  <si>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</si>
  <si>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</si>
  <si>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</si>
  <si>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</si>
  <si>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</si>
  <si>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</si>
  <si>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</si>
  <si>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</si>
  <si>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</si>
  <si>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</si>
  <si>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</si>
  <si>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</si>
  <si>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</si>
  <si>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</si>
  <si>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</si>
  <si>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</si>
  <si>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</si>
  <si>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</si>
  <si>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</si>
  <si>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</si>
  <si>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</si>
  <si>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</si>
  <si>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</si>
  <si>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</si>
  <si>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</si>
  <si>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</si>
  <si>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</si>
  <si>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</si>
  <si>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</si>
  <si>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</si>
  <si>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</si>
  <si>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</si>
  <si>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</si>
  <si>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</si>
  <si>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</si>
  <si>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</si>
  <si>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</si>
  <si>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</si>
  <si>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</si>
  <si>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</si>
  <si>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</si>
  <si>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</si>
  <si>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</si>
  <si>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</si>
  <si>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</si>
  <si>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</si>
  <si>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</si>
  <si>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</si>
  <si>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</si>
  <si>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</si>
  <si>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</si>
  <si>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</si>
  <si>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</si>
  <si>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</si>
  <si>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</si>
  <si>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</si>
  <si>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</si>
  <si>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</si>
  <si>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</si>
  <si>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</si>
  <si>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</si>
  <si>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</si>
  <si>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</si>
  <si>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</si>
  <si>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</si>
  <si>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</si>
  <si>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</si>
  <si>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</si>
  <si>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</si>
  <si>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</si>
  <si>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</si>
  <si>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</si>
  <si>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</si>
  <si>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</si>
  <si>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</si>
  <si>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</si>
  <si>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</si>
  <si>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</si>
  <si>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</si>
  <si>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</si>
  <si>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</si>
  <si>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</si>
  <si>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</si>
  <si>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</si>
  <si>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</si>
  <si>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</si>
  <si>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</si>
  <si>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</si>
  <si>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</si>
  <si>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</si>
  <si>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</si>
  <si>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</si>
  <si>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</si>
  <si>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</si>
  <si>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</si>
  <si>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</si>
  <si>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</si>
  <si>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</si>
  <si>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</si>
  <si>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</si>
  <si>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</si>
  <si>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</si>
  <si>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</si>
  <si>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</si>
  <si>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</si>
  <si>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</si>
  <si>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</si>
  <si>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</si>
  <si>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</si>
  <si>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</si>
  <si>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</si>
  <si>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</si>
  <si>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</si>
  <si>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</si>
  <si>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</si>
  <si>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</si>
  <si>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</si>
  <si>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</si>
  <si>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</si>
  <si>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</si>
  <si>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</si>
  <si>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</si>
  <si>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</si>
  <si>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</si>
  <si>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</si>
  <si>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</si>
  <si>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</si>
  <si>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</si>
  <si>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</si>
  <si>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</si>
  <si>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</si>
  <si>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</si>
  <si>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</si>
  <si>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</si>
  <si>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</si>
  <si>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</si>
  <si>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</si>
  <si>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</si>
  <si>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</si>
  <si>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</si>
  <si>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</si>
  <si>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</si>
  <si>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</si>
  <si>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</si>
  <si>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</si>
  <si>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</si>
  <si>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</si>
  <si>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</si>
  <si>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</si>
  <si>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</si>
  <si>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</si>
  <si>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</si>
  <si>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</si>
  <si>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</si>
  <si>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</si>
  <si>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</si>
  <si>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</si>
  <si>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</si>
  <si>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</si>
  <si>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</si>
  <si>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</si>
  <si>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</si>
  <si>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</si>
  <si>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</si>
  <si>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</si>
  <si>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</si>
  <si>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</si>
  <si>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</si>
  <si>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</si>
  <si>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</si>
  <si>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</si>
  <si>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</si>
  <si>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</si>
  <si>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</si>
  <si>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</si>
  <si>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</si>
  <si>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</si>
  <si>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</si>
  <si>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</si>
  <si>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</si>
  <si>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</si>
  <si>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</si>
  <si>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</si>
  <si>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</si>
  <si>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</si>
  <si>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</si>
  <si>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</si>
  <si>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</si>
  <si>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</si>
  <si>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</si>
  <si>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</si>
  <si>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</si>
  <si>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</si>
  <si>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</si>
  <si>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</si>
  <si>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</si>
  <si>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</si>
  <si>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</si>
  <si>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</si>
  <si>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</si>
  <si>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</si>
  <si>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</si>
  <si>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</si>
  <si>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</si>
  <si>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</si>
  <si>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</si>
  <si>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</si>
  <si>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</si>
  <si>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</si>
  <si>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</si>
  <si>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</si>
  <si>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</si>
  <si>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</si>
  <si>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</si>
  <si>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</si>
  <si>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</si>
  <si>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</si>
  <si>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</si>
  <si>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</si>
  <si>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</si>
  <si>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</si>
  <si>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</si>
  <si>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</si>
  <si>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</si>
  <si>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</si>
  <si>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</si>
  <si>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</si>
  <si>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</si>
  <si>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</si>
  <si>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</si>
  <si>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</si>
  <si>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</si>
  <si>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</si>
  <si>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</si>
  <si>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</si>
  <si>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</si>
  <si>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</si>
  <si>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</si>
  <si>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</si>
  <si>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</si>
  <si>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</si>
  <si>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</si>
  <si>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</si>
  <si>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</si>
  <si>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</si>
  <si>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</si>
  <si>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</si>
  <si>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</si>
  <si>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</si>
  <si>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</si>
  <si>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</si>
  <si>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</si>
  <si>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</si>
  <si>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</si>
  <si>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</si>
  <si>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</si>
  <si>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</si>
  <si>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</si>
  <si>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</si>
  <si>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</si>
  <si>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</si>
  <si>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</si>
  <si>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</si>
  <si>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</si>
  <si>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</si>
  <si>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</si>
  <si>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</si>
  <si>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</si>
  <si>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</si>
  <si>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</si>
  <si>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</si>
  <si>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</si>
  <si>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</si>
  <si>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</si>
  <si>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</si>
  <si>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</si>
  <si>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</si>
  <si>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</si>
  <si>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</si>
  <si>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</si>
  <si>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</si>
  <si>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</si>
  <si>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</si>
  <si>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</si>
  <si>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</si>
  <si>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</si>
  <si>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</si>
  <si>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</si>
  <si>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</si>
  <si>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</si>
  <si>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</si>
  <si>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</si>
  <si>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</si>
  <si>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</si>
  <si>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</si>
  <si>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</si>
  <si>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</si>
  <si>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</si>
  <si>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</si>
  <si>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</si>
  <si>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</si>
  <si>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</si>
  <si>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</si>
  <si>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</si>
  <si>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</si>
  <si>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</si>
  <si>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</si>
  <si>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</si>
  <si>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</si>
  <si>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</si>
  <si>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</si>
  <si>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</si>
  <si>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</si>
  <si>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</si>
  <si>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</si>
  <si>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</si>
  <si>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</si>
  <si>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</si>
  <si>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</si>
  <si>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</si>
  <si>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</si>
  <si>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</si>
  <si>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</si>
  <si>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</si>
  <si>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</si>
  <si>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</si>
  <si>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</si>
  <si>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</si>
  <si>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</si>
  <si>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</si>
  <si>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</si>
  <si>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</si>
  <si>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</si>
  <si>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</si>
  <si>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</si>
  <si>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</si>
  <si>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</si>
  <si>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</si>
  <si>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</si>
  <si>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</si>
  <si>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</si>
  <si>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</si>
  <si>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</si>
  <si>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</si>
  <si>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</si>
  <si>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</si>
  <si>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</si>
  <si>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</si>
  <si>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</si>
  <si>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</si>
  <si>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</si>
  <si>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</si>
  <si>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</si>
  <si>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</si>
  <si>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</si>
  <si>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</si>
  <si>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</si>
  <si>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</si>
  <si>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</si>
  <si>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</si>
  <si>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</si>
  <si>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</si>
  <si>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</si>
  <si>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</si>
  <si>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</si>
  <si>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</si>
  <si>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</si>
  <si>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</si>
  <si>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</si>
  <si>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</si>
  <si>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</si>
  <si>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</si>
  <si>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</si>
  <si>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</si>
  <si>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</si>
  <si>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</si>
  <si>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</si>
  <si>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</si>
  <si>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</si>
  <si>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</si>
  <si>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</si>
  <si>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</si>
  <si>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</si>
  <si>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</si>
  <si>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</si>
  <si>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</si>
  <si>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</si>
  <si>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</si>
  <si>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</si>
  <si>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</si>
  <si>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</si>
  <si>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</si>
  <si>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</si>
  <si>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</si>
  <si>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</si>
  <si>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</si>
  <si>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</si>
  <si>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</si>
  <si>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</si>
  <si>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</si>
  <si>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</si>
  <si>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</si>
  <si>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</si>
  <si>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</si>
  <si>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</si>
  <si>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</si>
  <si>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</si>
  <si>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</si>
  <si>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</si>
  <si>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</si>
  <si>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</si>
  <si>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</si>
  <si>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</si>
  <si>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</si>
  <si>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</si>
  <si>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</si>
  <si>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</si>
  <si>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</si>
  <si>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</si>
  <si>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</si>
  <si>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</si>
  <si>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</si>
  <si>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</si>
  <si>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</si>
  <si>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</si>
  <si>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</si>
  <si>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</si>
  <si>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</si>
  <si>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</si>
  <si>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</si>
  <si>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</si>
  <si>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</si>
  <si>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</si>
  <si>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</si>
  <si>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</si>
  <si>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</si>
  <si>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</si>
  <si>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</si>
  <si>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</si>
  <si>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</si>
  <si>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</si>
  <si>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</si>
  <si>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</si>
  <si>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</si>
  <si>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</si>
  <si>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</si>
  <si>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</si>
  <si>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</si>
  <si>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</si>
  <si>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</si>
  <si>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</si>
  <si>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</si>
  <si>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</si>
  <si>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</si>
  <si>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</si>
  <si>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</si>
  <si>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</si>
  <si>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</si>
  <si>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</si>
  <si>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</si>
  <si>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</si>
  <si>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</si>
  <si>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</si>
  <si>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</si>
  <si>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</si>
  <si>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</si>
  <si>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</si>
  <si>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</si>
  <si>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</si>
  <si>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</si>
  <si>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</si>
  <si>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</si>
  <si>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</si>
  <si>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</si>
  <si>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</si>
  <si>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</si>
  <si>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</si>
  <si>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</si>
  <si>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</si>
  <si>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</si>
  <si>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</si>
  <si>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</si>
  <si>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</si>
  <si>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</si>
  <si>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</si>
  <si>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</si>
  <si>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</si>
  <si>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</si>
  <si>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</si>
  <si>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</si>
  <si>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</si>
  <si>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</si>
  <si>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</si>
  <si>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</si>
  <si>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</si>
  <si>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</si>
  <si>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</si>
  <si>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</si>
  <si>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</si>
  <si>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</si>
  <si>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</si>
  <si>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</si>
  <si>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</si>
  <si>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</si>
  <si>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</si>
  <si>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</si>
  <si>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</si>
  <si>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</si>
  <si>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</si>
  <si>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</si>
  <si>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</si>
  <si>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</si>
  <si>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</si>
  <si>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</si>
  <si>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</si>
  <si>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</si>
  <si>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</si>
  <si>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</si>
  <si>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</si>
  <si>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</si>
  <si>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</si>
  <si>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</si>
  <si>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</si>
  <si>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</si>
  <si>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</si>
  <si>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</si>
  <si>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</si>
  <si>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</si>
  <si>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</si>
  <si>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</si>
  <si>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</si>
  <si>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</si>
  <si>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</si>
  <si>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</si>
  <si>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</si>
  <si>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</si>
  <si>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</si>
  <si>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</si>
  <si>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</si>
  <si>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</si>
  <si>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</si>
  <si>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</si>
  <si>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</si>
  <si>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</si>
  <si>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</si>
  <si>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</si>
  <si>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</si>
  <si>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</si>
  <si>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</si>
  <si>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</si>
  <si>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</si>
  <si>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</si>
  <si>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</si>
  <si>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</si>
  <si>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</si>
  <si>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</si>
  <si>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</si>
  <si>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</si>
  <si>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</si>
  <si>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</si>
  <si>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</si>
  <si>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</si>
  <si>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</si>
  <si>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</si>
  <si>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</si>
  <si>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</si>
  <si>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</si>
  <si>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</si>
  <si>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</si>
  <si>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</si>
  <si>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</si>
  <si>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</si>
  <si>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</si>
  <si>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</si>
  <si>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</si>
  <si>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</si>
  <si>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</si>
  <si>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</si>
  <si>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</si>
  <si>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</si>
  <si>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</si>
  <si>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</si>
  <si>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</si>
  <si>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</si>
  <si>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</si>
  <si>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</si>
  <si>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</si>
  <si>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</si>
  <si>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</si>
  <si>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</si>
  <si>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</si>
  <si>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</si>
  <si>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</si>
  <si>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</si>
  <si>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</si>
  <si>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</si>
  <si>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</si>
  <si>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</si>
  <si>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</si>
  <si>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</si>
  <si>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</si>
  <si>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</si>
  <si>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</si>
  <si>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</si>
  <si>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</si>
  <si>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</si>
  <si>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</si>
  <si>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</si>
  <si>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</si>
  <si>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</si>
  <si>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</si>
  <si>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</si>
  <si>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</si>
  <si>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</si>
  <si>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</si>
  <si>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</si>
  <si>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</si>
  <si>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</si>
  <si>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</si>
  <si>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</si>
  <si>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</si>
  <si>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</si>
  <si>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</si>
  <si>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</si>
  <si>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</si>
  <si>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</si>
  <si>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</si>
  <si>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</si>
  <si>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</si>
  <si>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</si>
  <si>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</si>
  <si>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</si>
  <si>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</si>
  <si>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</si>
  <si>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</si>
  <si>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</si>
  <si>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</si>
  <si>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</si>
  <si>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</si>
  <si>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</si>
  <si>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</si>
  <si>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</si>
  <si>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</si>
  <si>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</si>
  <si>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</si>
  <si>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</si>
  <si>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</si>
  <si>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</si>
  <si>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</si>
  <si>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</si>
  <si>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</si>
  <si>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</si>
  <si>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</si>
  <si>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</si>
  <si>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</si>
  <si>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</si>
  <si>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</si>
  <si>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</si>
  <si>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</si>
  <si>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</si>
  <si>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</si>
  <si>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</si>
  <si>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</si>
  <si>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</si>
  <si>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</si>
  <si>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</si>
  <si>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</si>
  <si>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</si>
  <si>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</si>
  <si>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</si>
  <si>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</si>
  <si>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</si>
  <si>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</si>
  <si>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</si>
  <si>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</si>
  <si>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</si>
  <si>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</si>
  <si>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</si>
  <si>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</si>
  <si>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</si>
  <si>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</si>
  <si>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</si>
  <si>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</si>
  <si>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</si>
  <si>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</si>
  <si>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</si>
  <si>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</si>
  <si>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</si>
  <si>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</si>
  <si>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</si>
  <si>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</si>
  <si>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</si>
  <si>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</si>
  <si>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</si>
  <si>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</si>
  <si>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</si>
  <si>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</si>
  <si>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</si>
  <si>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</si>
  <si>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</si>
  <si>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</si>
  <si>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</si>
  <si>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</si>
  <si>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</si>
  <si>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</si>
  <si>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</si>
  <si>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</si>
  <si>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</si>
  <si>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</si>
  <si>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</si>
  <si>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</si>
  <si>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</si>
  <si>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</si>
  <si>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</si>
  <si>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</si>
  <si>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</si>
  <si>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</si>
  <si>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</si>
  <si>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</si>
  <si>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</si>
  <si>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</si>
  <si>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</si>
  <si>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</si>
  <si>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</si>
  <si>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</si>
  <si>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</si>
  <si>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</si>
  <si>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</si>
  <si>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</si>
  <si>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</si>
  <si>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</si>
  <si>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</si>
  <si>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</si>
  <si>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</si>
  <si>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</si>
  <si>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</si>
  <si>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</si>
  <si>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</si>
  <si>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</si>
  <si>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</si>
  <si>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</si>
  <si>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</si>
  <si>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</si>
  <si>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</si>
  <si>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</si>
  <si>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</si>
  <si>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</si>
  <si>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</si>
  <si>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</si>
  <si>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</si>
  <si>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</si>
  <si>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</si>
  <si>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</si>
  <si>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</si>
  <si>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</si>
  <si>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</si>
  <si>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</si>
  <si>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</si>
  <si>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</si>
  <si>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</si>
  <si>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</si>
  <si>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</si>
  <si>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</si>
  <si>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</si>
  <si>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</si>
  <si>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</si>
  <si>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</si>
  <si>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</si>
  <si>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</si>
  <si>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</si>
  <si>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</si>
  <si>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</si>
  <si>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</si>
  <si>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</si>
  <si>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</si>
  <si>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</si>
  <si>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</si>
  <si>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</si>
  <si>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</si>
  <si>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</si>
  <si>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</si>
  <si>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</si>
  <si>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</si>
  <si>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</si>
  <si>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</si>
  <si>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</si>
  <si>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</si>
  <si>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</si>
  <si>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</si>
  <si>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</si>
  <si>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</si>
  <si>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</si>
  <si>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</si>
  <si>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</si>
  <si>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</si>
  <si>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</si>
  <si>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</si>
  <si>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</si>
  <si>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</si>
  <si>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</si>
  <si>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</si>
  <si>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</si>
  <si>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</si>
  <si>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</si>
  <si>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</si>
  <si>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</si>
  <si>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</si>
  <si>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</si>
  <si>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</si>
  <si>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</si>
  <si>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</si>
  <si>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</si>
  <si>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</si>
  <si>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</si>
  <si>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</si>
  <si>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</si>
  <si>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</si>
  <si>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</si>
  <si>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</si>
  <si>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</si>
  <si>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</si>
  <si>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</si>
  <si>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</si>
  <si>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</si>
  <si>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</si>
  <si>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</si>
  <si>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</si>
  <si>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</si>
  <si>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</si>
  <si>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</si>
  <si>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</si>
  <si>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</si>
  <si>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</si>
  <si>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</si>
  <si>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</si>
  <si>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</si>
  <si>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</si>
  <si>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</si>
  <si>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</si>
  <si>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</si>
  <si>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</si>
  <si>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</si>
  <si>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</si>
  <si>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</si>
  <si>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</si>
  <si>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</si>
  <si>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</si>
  <si>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</si>
  <si>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</si>
  <si>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</si>
  <si>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</si>
  <si>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</si>
  <si>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</si>
  <si>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</si>
  <si>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</si>
  <si>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</si>
  <si>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</si>
  <si>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</si>
  <si>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</si>
  <si>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</si>
  <si>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</si>
  <si>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</si>
  <si>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</si>
  <si>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</si>
  <si>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</si>
  <si>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</si>
  <si>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</si>
  <si>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</si>
  <si>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</si>
  <si>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</si>
  <si>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</si>
  <si>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</si>
  <si>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</si>
  <si>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</si>
  <si>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</si>
  <si>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</si>
  <si>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</si>
  <si>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</si>
  <si>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</si>
  <si>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</si>
  <si>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</si>
  <si>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</si>
  <si>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</si>
  <si>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</si>
  <si>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</si>
  <si>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</si>
  <si>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</si>
  <si>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</si>
  <si>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</si>
  <si>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</si>
  <si>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</si>
  <si>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</si>
  <si>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</si>
  <si>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</si>
  <si>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</si>
  <si>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</si>
  <si>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</si>
  <si>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</si>
  <si>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</si>
  <si>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</si>
  <si>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</si>
  <si>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</si>
  <si>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</si>
  <si>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</si>
  <si>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</si>
  <si>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</si>
  <si>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</si>
  <si>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</si>
  <si>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</si>
  <si>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</si>
  <si>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</si>
  <si>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</si>
  <si>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</si>
  <si>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</si>
  <si>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</si>
  <si>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</si>
  <si>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</si>
  <si>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</si>
  <si>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</si>
  <si>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</si>
  <si>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</si>
  <si>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</si>
  <si>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</si>
  <si>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</si>
  <si>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</si>
  <si>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</si>
  <si>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</si>
  <si>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</si>
  <si>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</si>
  <si>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</si>
  <si>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</si>
  <si>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</si>
  <si>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</si>
  <si>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</si>
  <si>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</si>
  <si>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</si>
  <si>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</si>
  <si>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</si>
  <si>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</si>
  <si>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</si>
  <si>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</si>
  <si>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</si>
  <si>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</si>
  <si>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</si>
  <si>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</si>
  <si>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</si>
  <si>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</si>
  <si>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</si>
  <si>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</si>
  <si>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</si>
  <si>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</si>
  <si>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</si>
  <si>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</si>
  <si>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</si>
  <si>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</si>
  <si>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</si>
  <si>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</si>
  <si>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</si>
  <si>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</si>
  <si>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</si>
  <si>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</si>
  <si>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</si>
  <si>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</si>
  <si>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</si>
  <si>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</si>
  <si>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</si>
  <si>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</si>
  <si>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</si>
  <si>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</si>
  <si>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</si>
  <si>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</si>
  <si>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</si>
  <si>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</si>
  <si>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</si>
  <si>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</si>
  <si>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</si>
  <si>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</si>
  <si>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</si>
  <si>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</si>
  <si>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</si>
  <si>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</si>
  <si>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</si>
  <si>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</si>
  <si>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</si>
  <si>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</si>
  <si>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</si>
  <si>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</si>
  <si>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</si>
  <si>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</si>
  <si>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</si>
  <si>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</si>
  <si>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</si>
  <si>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</si>
  <si>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</si>
  <si>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</si>
  <si>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</si>
  <si>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</si>
  <si>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</si>
  <si>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</si>
  <si>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</si>
  <si>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</si>
  <si>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</si>
  <si>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</si>
  <si>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</si>
  <si>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</si>
  <si>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</si>
  <si>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</si>
  <si>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</si>
  <si>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</si>
  <si>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</si>
  <si>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</si>
  <si>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</si>
  <si>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</si>
  <si>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</si>
  <si>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</si>
  <si>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</si>
  <si>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</si>
  <si>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</si>
  <si>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</si>
  <si>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</si>
  <si>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</si>
  <si>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</si>
  <si>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</si>
  <si>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</si>
  <si>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</si>
  <si>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</si>
  <si>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</si>
  <si>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</si>
  <si>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</si>
  <si>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</si>
  <si>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</si>
  <si>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</si>
  <si>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</si>
  <si>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</si>
  <si>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</si>
  <si>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</si>
  <si>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</si>
  <si>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</si>
  <si>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</si>
  <si>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</si>
  <si>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</si>
  <si>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</si>
  <si>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</si>
  <si>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</si>
  <si>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</si>
  <si>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</si>
  <si>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</si>
  <si>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</si>
  <si>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</si>
  <si>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</si>
  <si>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</si>
  <si>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</si>
  <si>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</si>
  <si>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</si>
  <si>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</si>
  <si>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</si>
  <si>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</si>
  <si>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</si>
  <si>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</si>
  <si>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</si>
  <si>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</si>
  <si>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</si>
  <si>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</si>
  <si>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</si>
  <si>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</si>
  <si>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</si>
  <si>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</si>
  <si>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</si>
  <si>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</si>
  <si>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</si>
  <si>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</si>
  <si>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</si>
  <si>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</si>
  <si>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</si>
  <si>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</si>
  <si>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</si>
  <si>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</si>
  <si>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</si>
  <si>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</si>
  <si>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</si>
  <si>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</si>
  <si>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</si>
  <si>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</si>
  <si>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</si>
  <si>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</si>
  <si>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</si>
  <si>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</si>
  <si>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</si>
  <si>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</si>
  <si>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</si>
  <si>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</si>
  <si>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</si>
  <si>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</si>
  <si>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</si>
  <si>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</si>
  <si>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</si>
  <si>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</si>
  <si>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</si>
  <si>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</si>
  <si>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</si>
  <si>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</si>
  <si>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</si>
  <si>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</si>
  <si>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</si>
  <si>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</si>
  <si>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</si>
  <si>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</si>
  <si>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</si>
  <si>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</si>
  <si>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</si>
  <si>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</si>
  <si>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</si>
  <si>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</si>
  <si>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</si>
  <si>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</si>
  <si>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</si>
  <si>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</si>
  <si>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</si>
  <si>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</si>
  <si>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</si>
  <si>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</si>
  <si>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</si>
  <si>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</si>
  <si>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</si>
  <si>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</si>
  <si>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</si>
  <si>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</si>
  <si>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</si>
  <si>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</si>
  <si>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</si>
  <si>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</si>
  <si>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</si>
  <si>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</si>
  <si>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</si>
  <si>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</si>
  <si>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</si>
  <si>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</si>
  <si>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</si>
  <si>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</si>
  <si>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</si>
  <si>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</si>
  <si>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</si>
  <si>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</si>
  <si>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</si>
  <si>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</si>
  <si>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</si>
  <si>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</si>
  <si>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</si>
  <si>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</si>
  <si>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</si>
  <si>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</si>
  <si>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</si>
  <si>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</si>
  <si>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</si>
  <si>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</si>
  <si>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</si>
  <si>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</si>
  <si>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</si>
  <si>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</si>
  <si>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</si>
  <si>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</si>
  <si>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</si>
  <si>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</si>
  <si>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</si>
  <si>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</si>
  <si>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</si>
  <si>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</si>
  <si>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</si>
  <si>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</si>
  <si>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</si>
  <si>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</si>
  <si>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</si>
  <si>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</si>
  <si>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</si>
  <si>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</si>
  <si>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</si>
  <si>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</si>
  <si>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</si>
  <si>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</si>
  <si>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</si>
  <si>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</si>
  <si>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</si>
  <si>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</si>
  <si>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</si>
  <si>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</si>
  <si>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</si>
  <si>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</si>
  <si>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</si>
  <si>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</si>
  <si>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</si>
  <si>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</si>
  <si>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</si>
  <si>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</si>
  <si>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</si>
  <si>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</si>
  <si>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</si>
  <si>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</si>
  <si>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</si>
  <si>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</si>
  <si>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</si>
  <si>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</si>
  <si>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</si>
  <si>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</si>
  <si>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</si>
  <si>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</si>
  <si>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</si>
  <si>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</si>
  <si>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</si>
  <si>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</si>
  <si>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</si>
  <si>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</si>
  <si>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</si>
  <si>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</si>
  <si>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</si>
  <si>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</si>
  <si>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</si>
  <si>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</si>
  <si>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</si>
  <si>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</si>
  <si>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</si>
  <si>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</si>
  <si>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</si>
  <si>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</si>
  <si>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</si>
  <si>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</si>
  <si>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</si>
  <si>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</si>
  <si>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</si>
  <si>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</si>
  <si>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</si>
  <si>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</si>
  <si>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</si>
  <si>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</si>
  <si>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</si>
  <si>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</si>
  <si>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</si>
  <si>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</si>
  <si>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</si>
  <si>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</si>
  <si>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</si>
  <si>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</si>
  <si>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</si>
  <si>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</si>
  <si>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</si>
  <si>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</si>
  <si>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</si>
  <si>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</si>
  <si>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</si>
  <si>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</si>
  <si>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</si>
  <si>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</si>
  <si>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</si>
  <si>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</si>
  <si>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</si>
  <si>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</si>
  <si>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</si>
  <si>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</si>
  <si>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</si>
  <si>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</si>
  <si>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</si>
  <si>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</si>
  <si>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</si>
  <si>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</si>
  <si>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</si>
  <si>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</si>
  <si>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</si>
  <si>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</si>
  <si>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</si>
  <si>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</si>
  <si>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</si>
  <si>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</si>
  <si>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</si>
  <si>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</si>
  <si>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</si>
  <si>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</si>
  <si>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</si>
  <si>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</si>
  <si>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</si>
  <si>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</si>
  <si>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</si>
  <si>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</si>
  <si>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</si>
  <si>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</si>
  <si>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</si>
  <si>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</si>
  <si>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</si>
  <si>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</si>
  <si>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</si>
  <si>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</si>
  <si>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</si>
  <si>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</si>
  <si>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</si>
  <si>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</si>
  <si>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</si>
  <si>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</si>
  <si>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</si>
  <si>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</si>
  <si>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</si>
  <si>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</si>
  <si>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</si>
  <si>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</si>
  <si>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</si>
  <si>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</si>
  <si>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</si>
  <si>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</si>
  <si>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</si>
  <si>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</si>
  <si>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</si>
  <si>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</si>
  <si>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</si>
  <si>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</si>
  <si>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</si>
  <si>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</si>
  <si>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</si>
  <si>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</si>
  <si>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</si>
  <si>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</si>
  <si>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</si>
  <si>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</si>
  <si>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</si>
  <si>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</si>
  <si>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</si>
  <si>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</si>
  <si>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</si>
  <si>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</si>
  <si>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</si>
  <si>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</si>
  <si>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</si>
  <si>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</si>
  <si>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</si>
  <si>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</si>
  <si>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</si>
  <si>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</si>
  <si>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</si>
  <si>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</si>
  <si>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</si>
  <si>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</si>
  <si>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</si>
  <si>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</si>
  <si>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</si>
  <si>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</si>
  <si>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</si>
  <si>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</si>
  <si>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</si>
  <si>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</si>
  <si>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</si>
  <si>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</si>
  <si>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</si>
  <si>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</si>
  <si>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</si>
  <si>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</si>
  <si>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</si>
  <si>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</si>
  <si>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</si>
  <si>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</si>
  <si>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</si>
  <si>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</si>
  <si>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</si>
  <si>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</si>
  <si>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</si>
  <si>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</si>
  <si>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</si>
  <si>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</si>
  <si>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</si>
  <si>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</si>
  <si>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</si>
  <si>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</si>
  <si>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</si>
  <si>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</si>
  <si>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</si>
  <si>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</si>
  <si>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</si>
  <si>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</si>
  <si>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</si>
  <si>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</si>
  <si>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</si>
  <si>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</si>
  <si>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</si>
  <si>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</si>
  <si>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</si>
  <si>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</si>
  <si>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</si>
  <si>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</si>
  <si>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</si>
  <si>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</si>
  <si>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</si>
  <si>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</si>
  <si>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</si>
  <si>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</si>
  <si>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</si>
  <si>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</si>
  <si>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</si>
  <si>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</si>
  <si>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</si>
  <si>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</si>
  <si>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</si>
  <si>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</si>
  <si>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</si>
  <si>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</si>
  <si>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</si>
  <si>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</si>
  <si>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</si>
  <si>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</si>
  <si>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</si>
  <si>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</si>
  <si>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</si>
  <si>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</si>
  <si>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</si>
  <si>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</si>
  <si>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</si>
  <si>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</si>
  <si>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</si>
  <si>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</si>
  <si>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</si>
  <si>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</si>
  <si>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</si>
  <si>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</si>
  <si>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</si>
  <si>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</si>
  <si>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</si>
  <si>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</si>
  <si>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</si>
  <si>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</si>
  <si>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</si>
  <si>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</si>
  <si>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</si>
  <si>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</si>
  <si>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</si>
  <si>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</si>
  <si>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</si>
  <si>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</si>
  <si>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</si>
  <si>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</si>
  <si>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</si>
  <si>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</si>
  <si>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</si>
  <si>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</si>
  <si>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</si>
  <si>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</si>
  <si>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</si>
  <si>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</si>
  <si>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</si>
  <si>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</si>
  <si>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</si>
  <si>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</si>
  <si>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</si>
  <si>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</si>
  <si>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</si>
  <si>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</si>
  <si>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</si>
  <si>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</si>
  <si>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</si>
  <si>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</si>
  <si>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</si>
  <si>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</si>
  <si>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</si>
  <si>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</si>
  <si>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</si>
  <si>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</si>
  <si>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</si>
  <si>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</si>
  <si>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</si>
  <si>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</si>
  <si>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</si>
  <si>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</si>
  <si>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</si>
  <si>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</si>
  <si>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</si>
  <si>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</si>
  <si>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</si>
  <si>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</si>
  <si>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</si>
  <si>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</si>
  <si>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</si>
  <si>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</si>
  <si>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</si>
  <si>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</si>
  <si>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</si>
  <si>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</si>
  <si>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</si>
  <si>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</si>
  <si>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</si>
  <si>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</si>
  <si>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</si>
  <si>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</si>
  <si>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</si>
  <si>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</si>
  <si>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</si>
  <si>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</si>
  <si>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</si>
  <si>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</si>
  <si>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</si>
  <si>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</si>
  <si>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</si>
  <si>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</si>
  <si>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</si>
  <si>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</si>
  <si>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</si>
  <si>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</si>
  <si>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</si>
  <si>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</si>
  <si>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</si>
  <si>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</si>
  <si>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</si>
  <si>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</si>
  <si>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</si>
  <si>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</si>
  <si>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</si>
  <si>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</si>
  <si>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</si>
  <si>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</si>
  <si>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</si>
  <si>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</si>
  <si>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</si>
  <si>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</si>
  <si>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</si>
  <si>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</si>
  <si>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</si>
  <si>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</si>
  <si>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</si>
  <si>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</si>
  <si>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</si>
  <si>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</si>
  <si>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</si>
  <si>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</si>
  <si>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</si>
  <si>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</si>
  <si>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</si>
  <si>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</si>
  <si>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</si>
  <si>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</si>
  <si>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</si>
  <si>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</si>
  <si>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</si>
  <si>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</si>
  <si>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</si>
  <si>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</si>
  <si>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</si>
  <si>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</si>
  <si>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</si>
  <si>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</si>
  <si>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</si>
  <si>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</si>
  <si>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</si>
  <si>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</si>
  <si>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</si>
  <si>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</si>
  <si>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</si>
  <si>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</si>
  <si>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</si>
  <si>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</si>
  <si>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</si>
  <si>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</si>
  <si>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</si>
  <si>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</si>
  <si>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</si>
  <si>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</si>
  <si>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</si>
  <si>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</si>
  <si>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</si>
  <si>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</si>
  <si>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</si>
  <si>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</si>
  <si>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</si>
  <si>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</si>
  <si>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</si>
  <si>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</si>
  <si>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</si>
  <si>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</si>
  <si>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</si>
  <si>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</si>
  <si>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</si>
  <si>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</si>
  <si>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</si>
  <si>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</si>
  <si>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</si>
  <si>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</si>
  <si>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</si>
  <si>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</si>
  <si>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</si>
  <si>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</si>
  <si>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</si>
  <si>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</si>
  <si>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</si>
  <si>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</si>
  <si>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</si>
  <si>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</si>
  <si>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</si>
  <si>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</si>
  <si>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</si>
  <si>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</si>
  <si>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</si>
  <si>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</si>
  <si>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</si>
  <si>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</si>
  <si>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</si>
  <si>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</si>
  <si>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</si>
  <si>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</si>
  <si>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</si>
  <si>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</si>
  <si>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</si>
  <si>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</si>
  <si>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</si>
  <si>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</si>
  <si>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</si>
  <si>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</si>
  <si>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</si>
  <si>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</si>
  <si>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</si>
  <si>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</si>
  <si>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</si>
  <si>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</si>
  <si>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</si>
  <si>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</si>
  <si>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</si>
  <si>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</si>
  <si>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</si>
  <si>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</si>
  <si>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</si>
  <si>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</si>
  <si>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</si>
  <si>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</si>
  <si>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</si>
  <si>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</si>
  <si>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</si>
  <si>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</si>
  <si>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</si>
  <si>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</si>
  <si>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</si>
  <si>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</si>
  <si>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</si>
  <si>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</si>
  <si>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</si>
  <si>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</si>
  <si>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</si>
  <si>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</si>
  <si>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</si>
  <si>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</si>
  <si>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</si>
  <si>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</si>
  <si>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</si>
  <si>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</si>
  <si>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</si>
  <si>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</si>
  <si>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</si>
  <si>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</si>
  <si>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</si>
  <si>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</si>
  <si>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</si>
  <si>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</si>
  <si>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</si>
  <si>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</si>
  <si>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</si>
  <si>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</si>
  <si>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</si>
  <si>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</si>
  <si>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</si>
  <si>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</si>
  <si>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</si>
  <si>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</si>
  <si>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</si>
  <si>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</si>
  <si>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</si>
  <si>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</si>
  <si>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</si>
  <si>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</si>
  <si>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</si>
  <si>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</si>
  <si>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</si>
  <si>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</si>
  <si>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</si>
  <si>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</si>
  <si>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</si>
  <si>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</si>
  <si>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</si>
  <si>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</si>
  <si>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</si>
  <si>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</si>
  <si>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</si>
  <si>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</si>
  <si>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</si>
  <si>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</si>
  <si>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</si>
  <si>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</si>
  <si>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</si>
  <si>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</si>
  <si>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</si>
  <si>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</si>
  <si>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</si>
  <si>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</si>
  <si>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</si>
  <si>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</si>
  <si>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</si>
  <si>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</si>
  <si>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</si>
  <si>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</si>
  <si>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</si>
  <si>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</si>
  <si>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</si>
  <si>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</si>
  <si>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</si>
  <si>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</si>
  <si>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</si>
  <si>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</si>
  <si>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</si>
  <si>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</si>
  <si>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</si>
  <si>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</si>
  <si>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</si>
  <si>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</si>
  <si>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</si>
  <si>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</si>
  <si>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</si>
  <si>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</si>
  <si>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</si>
  <si>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</si>
  <si>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</si>
  <si>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</si>
  <si>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</si>
  <si>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</si>
  <si>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</si>
  <si>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</si>
  <si>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</si>
  <si>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</si>
  <si>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</si>
  <si>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</si>
  <si>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</si>
  <si>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</si>
  <si>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</si>
  <si>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</si>
  <si>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</si>
  <si>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</si>
  <si>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</si>
  <si>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</si>
  <si>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</si>
  <si>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</si>
  <si>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</si>
  <si>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</si>
  <si>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</si>
  <si>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</si>
  <si>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</si>
  <si>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</si>
  <si>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</si>
  <si>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</si>
  <si>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</si>
  <si>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</si>
  <si>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</si>
  <si>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</si>
  <si>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</si>
  <si>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</si>
  <si>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</si>
  <si>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</si>
  <si>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</si>
  <si>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</si>
  <si>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</si>
  <si>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</si>
  <si>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</si>
  <si>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</si>
  <si>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</si>
  <si>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</si>
  <si>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</si>
  <si>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</si>
  <si>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</si>
  <si>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</si>
  <si>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</si>
  <si>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</si>
  <si>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</si>
  <si>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</si>
  <si>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</si>
  <si>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</si>
  <si>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</si>
  <si>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</si>
  <si>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</si>
  <si>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</si>
  <si>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</si>
  <si>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</si>
  <si>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</si>
  <si>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</si>
  <si>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</si>
  <si>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</si>
  <si>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</si>
  <si>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</si>
  <si>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</si>
  <si>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</si>
  <si>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</si>
  <si>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</si>
  <si>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</si>
  <si>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</si>
  <si>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</si>
  <si>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</si>
  <si>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</si>
  <si>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</si>
  <si>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</si>
  <si>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</si>
  <si>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</si>
  <si>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</si>
  <si>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</si>
  <si>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</si>
  <si>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</si>
  <si>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</si>
  <si>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</si>
  <si>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</si>
  <si>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</si>
  <si>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</si>
  <si>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</si>
  <si>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</si>
  <si>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</si>
  <si>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</si>
  <si>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</si>
  <si>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</si>
  <si>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</si>
  <si>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</si>
  <si>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</si>
  <si>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</si>
  <si>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</si>
  <si>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</si>
  <si>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</si>
  <si>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</si>
  <si>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</si>
  <si>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</si>
  <si>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</si>
  <si>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</si>
  <si>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</si>
  <si>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</si>
  <si>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</si>
  <si>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</si>
  <si>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</si>
  <si>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</si>
  <si>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</si>
  <si>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</si>
  <si>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</si>
  <si>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</si>
  <si>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</si>
  <si>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</si>
  <si>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</si>
  <si>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</si>
  <si>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</si>
  <si>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</si>
  <si>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</si>
  <si>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</si>
  <si>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</si>
  <si>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</si>
  <si>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</si>
  <si>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</si>
  <si>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</si>
  <si>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</si>
  <si>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</si>
  <si>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</si>
  <si>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</si>
  <si>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</si>
  <si>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</si>
  <si>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</si>
  <si>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</si>
  <si>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</si>
  <si>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</si>
  <si>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</si>
  <si>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</si>
  <si>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</si>
  <si>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</si>
  <si>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</si>
  <si>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</si>
  <si>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</si>
  <si>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</si>
  <si>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</si>
  <si>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</si>
  <si>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</si>
  <si>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</si>
  <si>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</si>
  <si>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</si>
  <si>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</si>
  <si>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</si>
  <si>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</si>
  <si>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</si>
  <si>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</si>
  <si>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</si>
  <si>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</si>
  <si>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</si>
  <si>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</si>
  <si>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</si>
  <si>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</si>
  <si>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</si>
  <si>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</si>
  <si>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</si>
  <si>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</si>
  <si>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</si>
  <si>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</si>
  <si>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</si>
  <si>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</si>
  <si>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</si>
  <si>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</si>
  <si>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</si>
  <si>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</si>
  <si>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</si>
  <si>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</si>
  <si>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</si>
  <si>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</si>
  <si>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</si>
  <si>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</si>
  <si>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</si>
  <si>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</si>
  <si>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</si>
  <si>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</si>
  <si>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</si>
  <si>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</si>
  <si>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</si>
  <si>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</si>
  <si>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</si>
  <si>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</si>
  <si>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</si>
  <si>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</si>
  <si>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</si>
  <si>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</si>
  <si>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</si>
  <si>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</si>
  <si>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</si>
  <si>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</si>
  <si>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</si>
  <si>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</si>
  <si>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</si>
  <si>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</si>
  <si>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</si>
  <si>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</si>
  <si>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</si>
  <si>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</si>
  <si>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</si>
  <si>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</si>
  <si>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</si>
  <si>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</si>
  <si>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</si>
  <si>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</si>
  <si>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</si>
  <si>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</si>
  <si>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</si>
  <si>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</si>
  <si>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</si>
  <si>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</si>
  <si>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</si>
  <si>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</si>
  <si>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</si>
  <si>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</si>
  <si>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</si>
  <si>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</si>
  <si>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</si>
  <si>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</si>
  <si>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</si>
  <si>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</si>
  <si>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</si>
  <si>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</si>
  <si>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</si>
  <si>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</si>
  <si>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</si>
  <si>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</si>
  <si>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</si>
  <si>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</si>
  <si>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</si>
  <si>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</si>
  <si>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</si>
  <si>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</si>
  <si>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</si>
  <si>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</si>
  <si>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</si>
  <si>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</si>
  <si>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</si>
  <si>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</si>
  <si>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</si>
  <si>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</si>
  <si>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</si>
  <si>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</si>
  <si>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</si>
  <si>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</si>
  <si>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</si>
  <si>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</si>
  <si>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</si>
  <si>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</si>
  <si>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</si>
  <si>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</si>
  <si>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</si>
  <si>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</si>
  <si>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</si>
  <si>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</si>
  <si>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</si>
  <si>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</si>
  <si>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</si>
  <si>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</si>
  <si>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</si>
  <si>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</si>
  <si>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</si>
  <si>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</si>
  <si>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</si>
  <si>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</si>
  <si>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</si>
  <si>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</si>
  <si>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</si>
  <si>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</si>
  <si>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</si>
  <si>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</si>
  <si>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</si>
  <si>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</si>
  <si>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</si>
  <si>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</si>
  <si>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</si>
  <si>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</si>
  <si>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</si>
  <si>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</si>
  <si>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</si>
  <si>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</si>
  <si>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</si>
  <si>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</si>
  <si>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</si>
  <si>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</si>
  <si>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</si>
  <si>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</si>
  <si>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</si>
  <si>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</si>
  <si>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</si>
  <si>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</si>
  <si>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</si>
  <si>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</si>
  <si>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</si>
  <si>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</si>
  <si>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</si>
  <si>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</si>
  <si>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</si>
  <si>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</si>
  <si>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</si>
  <si>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</si>
  <si>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</si>
  <si>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</si>
  <si>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</si>
  <si>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</si>
  <si>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</si>
  <si>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</si>
  <si>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</si>
  <si>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</si>
  <si>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</si>
  <si>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</si>
  <si>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</si>
  <si>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</si>
  <si>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</si>
  <si>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</si>
  <si>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</si>
  <si>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</si>
  <si>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</si>
  <si>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</si>
  <si>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</si>
  <si>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</si>
  <si>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</si>
  <si>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</si>
  <si>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</si>
  <si>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</si>
  <si>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</si>
  <si>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</si>
  <si>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</si>
  <si>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</si>
  <si>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</si>
  <si>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</si>
  <si>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</si>
  <si>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</si>
  <si>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</si>
  <si>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</si>
  <si>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</si>
  <si>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</si>
  <si>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</si>
  <si>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</si>
  <si>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</si>
  <si>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</si>
  <si>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</si>
  <si>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</si>
  <si>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</si>
  <si>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</si>
  <si>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</si>
  <si>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</si>
  <si>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</si>
  <si>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</si>
  <si>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</si>
  <si>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</si>
  <si>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</si>
  <si>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</si>
  <si>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</si>
  <si>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</si>
  <si>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</si>
  <si>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</si>
  <si>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</si>
  <si>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</si>
  <si>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</si>
  <si>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</si>
  <si>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</si>
  <si>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</si>
  <si>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</si>
  <si>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</si>
  <si>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</si>
  <si>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</si>
  <si>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</si>
  <si>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</si>
  <si>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</si>
  <si>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</si>
  <si>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</si>
  <si>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</si>
  <si>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</si>
  <si>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</si>
  <si>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</si>
  <si>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</si>
  <si>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</si>
  <si>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</si>
  <si>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</si>
  <si>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</si>
  <si>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</si>
  <si>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</si>
  <si>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</si>
  <si>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</si>
  <si>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</si>
  <si>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</si>
  <si>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</si>
  <si>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</si>
  <si>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</si>
  <si>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</si>
  <si>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</si>
  <si>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</si>
  <si>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</si>
  <si>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</si>
  <si>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</si>
  <si>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</si>
  <si>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</si>
  <si>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</si>
  <si>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</si>
  <si>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</si>
  <si>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</si>
  <si>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</si>
  <si>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</si>
  <si>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</si>
  <si>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</si>
  <si>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</si>
  <si>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</si>
  <si>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</si>
  <si>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</si>
  <si>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</si>
  <si>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</si>
  <si>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</si>
  <si>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</si>
  <si>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</si>
  <si>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</si>
  <si>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</si>
  <si>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</si>
  <si>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</si>
  <si>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</si>
  <si>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</si>
  <si>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</si>
  <si>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</si>
  <si>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</si>
  <si>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</si>
  <si>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</si>
  <si>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</si>
  <si>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</si>
  <si>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</si>
  <si>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</si>
  <si>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</si>
  <si>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</si>
  <si>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</si>
  <si>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</si>
  <si>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</si>
  <si>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</si>
  <si>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</si>
  <si>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</si>
  <si>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</si>
  <si>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</si>
  <si>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</si>
  <si>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</si>
  <si>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</si>
  <si>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</si>
  <si>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</si>
  <si>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</si>
  <si>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</si>
  <si>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</si>
  <si>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</si>
  <si>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</si>
  <si>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</si>
  <si>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</si>
  <si>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</si>
  <si>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</si>
  <si>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</si>
  <si>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</si>
  <si>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</si>
  <si>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</si>
  <si>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</si>
  <si>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</si>
  <si>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</si>
  <si>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</si>
  <si>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</si>
  <si>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</si>
  <si>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</si>
  <si>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</si>
  <si>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</si>
  <si>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</si>
  <si>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</si>
  <si>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</si>
  <si>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</si>
  <si>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</si>
  <si>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</si>
  <si>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</si>
  <si>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</si>
  <si>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</si>
  <si>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</si>
  <si>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</si>
  <si>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</si>
  <si>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</si>
  <si>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</si>
  <si>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</si>
  <si>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</si>
  <si>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</si>
  <si>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</si>
  <si>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</si>
  <si>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</si>
  <si>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</si>
  <si>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</si>
  <si>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</si>
  <si>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</si>
  <si>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</si>
  <si>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</si>
  <si>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</si>
  <si>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</si>
  <si>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</si>
  <si>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</si>
  <si>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</si>
  <si>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</si>
  <si>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</si>
  <si>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</si>
  <si>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</si>
  <si>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</si>
  <si>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</si>
  <si>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</si>
  <si>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</si>
  <si>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</si>
  <si>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</si>
  <si>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</si>
  <si>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</si>
  <si>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</si>
  <si>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</si>
  <si>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</si>
  <si>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</si>
  <si>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</si>
  <si>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</si>
  <si>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</si>
  <si>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</si>
  <si>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</si>
  <si>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</si>
  <si>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</si>
  <si>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</si>
  <si>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</si>
  <si>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</si>
  <si>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</si>
  <si>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</si>
  <si>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</si>
  <si>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</si>
  <si>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</si>
  <si>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</si>
  <si>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</si>
  <si>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</si>
  <si>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</si>
  <si>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</si>
  <si>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</si>
  <si>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</si>
  <si>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</si>
  <si>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</si>
  <si>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</si>
  <si>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</si>
  <si>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</si>
  <si>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</si>
  <si>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</si>
  <si>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</si>
  <si>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</si>
  <si>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</si>
  <si>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</si>
  <si>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</si>
  <si>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</si>
  <si>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</si>
  <si>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</si>
  <si>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</si>
  <si>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</si>
  <si>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</si>
  <si>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</si>
  <si>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</si>
  <si>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</si>
  <si>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</si>
  <si>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</si>
  <si>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</si>
  <si>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</si>
  <si>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</si>
  <si>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</si>
  <si>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</si>
  <si>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</si>
  <si>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</si>
  <si>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</si>
  <si>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</si>
  <si>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</si>
  <si>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</si>
  <si>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</si>
  <si>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</si>
  <si>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</si>
  <si>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</si>
  <si>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</si>
  <si>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</si>
  <si>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</si>
  <si>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</si>
  <si>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</si>
  <si>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</si>
  <si>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</si>
  <si>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</si>
  <si>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</si>
  <si>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</si>
  <si>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</si>
  <si>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</si>
  <si>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</si>
  <si>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</si>
  <si>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</si>
  <si>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</si>
  <si>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</si>
  <si>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</si>
  <si>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</si>
  <si>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</si>
  <si>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</si>
  <si>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</si>
  <si>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</si>
  <si>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</si>
  <si>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</si>
  <si>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</si>
  <si>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</si>
  <si>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</si>
  <si>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</si>
  <si>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</si>
  <si>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</si>
  <si>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</si>
  <si>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</si>
  <si>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</si>
  <si>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</si>
  <si>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</si>
  <si>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</si>
  <si>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</si>
  <si>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</si>
  <si>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</si>
  <si>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</si>
  <si>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</si>
  <si>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</si>
  <si>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</si>
  <si>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</si>
  <si>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</si>
  <si>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</si>
  <si>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</si>
  <si>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</si>
  <si>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</si>
  <si>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</si>
  <si>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</si>
  <si>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</si>
  <si>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</si>
  <si>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</si>
  <si>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</si>
  <si>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</si>
  <si>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</si>
  <si>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</si>
  <si>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</si>
  <si>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</si>
  <si>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</si>
  <si>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</si>
  <si>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</si>
  <si>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</si>
  <si>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</si>
  <si>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</si>
  <si>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</si>
  <si>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</si>
  <si>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</si>
  <si>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</si>
  <si>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</si>
  <si>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</si>
  <si>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</si>
  <si>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</si>
  <si>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</si>
  <si>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</si>
  <si>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</si>
  <si>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</si>
  <si>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</si>
  <si>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</si>
  <si>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</si>
  <si>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</si>
  <si>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</si>
  <si>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</si>
  <si>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</si>
  <si>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</si>
  <si>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</si>
  <si>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</si>
  <si>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</si>
  <si>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</si>
  <si>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</si>
  <si>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</si>
  <si>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</si>
  <si>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</si>
  <si>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</si>
  <si>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</si>
  <si>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</si>
  <si>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</si>
  <si>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</si>
  <si>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</si>
  <si>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</si>
  <si>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</si>
  <si>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</si>
  <si>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</si>
  <si>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</si>
  <si>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</si>
  <si>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</si>
  <si>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</si>
  <si>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</si>
  <si>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</si>
  <si>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</si>
  <si>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</si>
  <si>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</si>
  <si>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</si>
  <si>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</si>
  <si>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</si>
  <si>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</si>
  <si>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</si>
  <si>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</si>
  <si>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</si>
  <si>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</si>
  <si>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</si>
  <si>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</si>
  <si>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</si>
  <si>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</si>
  <si>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</si>
  <si>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</si>
  <si>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</si>
  <si>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</si>
  <si>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</si>
  <si>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</si>
  <si>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</si>
  <si>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</si>
  <si>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</si>
  <si>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</si>
  <si>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</si>
  <si>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</si>
  <si>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</si>
  <si>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</si>
  <si>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</si>
  <si>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</si>
  <si>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</si>
  <si>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</si>
  <si>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</si>
  <si>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</si>
  <si>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</si>
  <si>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</si>
  <si>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</si>
  <si>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</si>
  <si>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</si>
  <si>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</si>
  <si>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</si>
  <si>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</si>
  <si>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</si>
  <si>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</si>
  <si>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</si>
  <si>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</si>
  <si>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</si>
  <si>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</si>
  <si>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</si>
  <si>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</si>
  <si>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</si>
  <si>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</si>
  <si>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</si>
  <si>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</si>
  <si>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</si>
  <si>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</si>
  <si>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</si>
  <si>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</si>
  <si>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</si>
  <si>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</si>
  <si>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</si>
  <si>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</si>
  <si>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</si>
  <si>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</si>
  <si>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</si>
  <si>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</si>
  <si>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</si>
  <si>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</si>
  <si>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</si>
  <si>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</si>
  <si>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</si>
  <si>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</si>
  <si>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</si>
  <si>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</si>
  <si>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</si>
  <si>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</si>
  <si>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</si>
  <si>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</si>
  <si>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</si>
  <si>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</si>
  <si>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</si>
  <si>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</si>
  <si>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</si>
  <si>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</si>
  <si>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</si>
  <si>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</si>
  <si>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</si>
  <si>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</si>
  <si>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</si>
  <si>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</si>
  <si>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</si>
  <si>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</si>
  <si>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</si>
  <si>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</si>
  <si>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</si>
  <si>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</si>
  <si>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</si>
  <si>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</si>
  <si>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</si>
  <si>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</si>
  <si>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</si>
  <si>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</si>
  <si>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</si>
  <si>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</si>
  <si>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</si>
  <si>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</si>
  <si>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</si>
  <si>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</si>
  <si>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</si>
  <si>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</si>
  <si>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</si>
  <si>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</si>
  <si>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</si>
  <si>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</si>
  <si>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</si>
  <si>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</si>
  <si>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</si>
  <si>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</si>
  <si>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</si>
  <si>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</si>
  <si>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</si>
  <si>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</si>
  <si>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</si>
  <si>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</si>
  <si>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</si>
  <si>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</si>
  <si>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</si>
  <si>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</si>
  <si>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</si>
  <si>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</si>
  <si>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</si>
  <si>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</si>
  <si>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</si>
  <si>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</si>
  <si>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</si>
  <si>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</si>
  <si>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</si>
  <si>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</si>
  <si>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</si>
  <si>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</si>
  <si>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</si>
  <si>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</si>
  <si>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</si>
  <si>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</si>
  <si>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</si>
  <si>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</si>
  <si>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</si>
  <si>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</si>
  <si>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</si>
  <si>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</si>
  <si>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</si>
  <si>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</si>
  <si>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</si>
  <si>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</si>
  <si>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</si>
  <si>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</si>
  <si>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</si>
  <si>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</si>
  <si>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</si>
  <si>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</si>
  <si>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</si>
  <si>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</si>
  <si>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</si>
  <si>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</si>
  <si>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</si>
  <si>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</si>
  <si>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</si>
  <si>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</si>
  <si>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</si>
  <si>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</si>
  <si>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</si>
  <si>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</si>
  <si>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</si>
  <si>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</si>
  <si>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</si>
  <si>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</si>
  <si>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</si>
  <si>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</si>
  <si>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</si>
  <si>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</si>
  <si>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</si>
  <si>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</si>
  <si>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</si>
  <si>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</si>
  <si>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</si>
  <si>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</si>
  <si>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</si>
  <si>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</si>
  <si>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</si>
  <si>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</si>
  <si>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</si>
  <si>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</si>
  <si>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</si>
  <si>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</si>
  <si>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</si>
  <si>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</si>
  <si>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</si>
  <si>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</si>
  <si>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</si>
  <si>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</si>
  <si>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</si>
  <si>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</si>
  <si>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</si>
  <si>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</si>
  <si>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</si>
  <si>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</si>
  <si>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</si>
  <si>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</si>
  <si>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</si>
  <si>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</si>
  <si>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</si>
  <si>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</si>
  <si>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</si>
  <si>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</si>
  <si>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</si>
  <si>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</si>
  <si>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</si>
  <si>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</si>
  <si>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</si>
  <si>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</si>
  <si>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</si>
  <si>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</si>
  <si>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</si>
  <si>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</si>
  <si>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</si>
  <si>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</si>
  <si>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</si>
  <si>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</si>
  <si>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</si>
  <si>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</si>
  <si>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</si>
  <si>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</si>
  <si>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</si>
  <si>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</si>
  <si>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</si>
  <si>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</si>
  <si>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</si>
  <si>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</si>
  <si>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</si>
  <si>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</si>
  <si>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</si>
  <si>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</si>
  <si>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</si>
  <si>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</si>
  <si>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</si>
  <si>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</si>
  <si>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</si>
  <si>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</si>
  <si>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</si>
  <si>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</si>
  <si>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</si>
  <si>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</si>
  <si>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</si>
  <si>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</si>
  <si>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</si>
  <si>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</si>
  <si>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</si>
  <si>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</si>
  <si>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</si>
  <si>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</si>
  <si>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</si>
  <si>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</si>
  <si>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</si>
  <si>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</si>
  <si>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</si>
  <si>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</si>
  <si>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</si>
  <si>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</si>
  <si>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</si>
  <si>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</si>
  <si>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</si>
  <si>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</si>
  <si>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</si>
  <si>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</si>
  <si>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</si>
  <si>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</si>
  <si>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</si>
  <si>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</si>
  <si>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</si>
  <si>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</si>
  <si>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</si>
  <si>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</si>
  <si>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</si>
  <si>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</si>
  <si>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</si>
  <si>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</si>
  <si>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</si>
  <si>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</si>
  <si>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</si>
  <si>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</si>
  <si>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</si>
  <si>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</si>
  <si>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</si>
  <si>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</si>
  <si>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</si>
  <si>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</si>
  <si>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</si>
  <si>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</si>
  <si>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</si>
  <si>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</si>
  <si>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</si>
  <si>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</si>
  <si>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</si>
  <si>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</si>
  <si>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</si>
  <si>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</si>
  <si>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</si>
  <si>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</si>
  <si>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</si>
  <si>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</si>
  <si>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</si>
  <si>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</si>
  <si>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</si>
  <si>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</si>
  <si>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</si>
  <si>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</si>
  <si>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</si>
  <si>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</si>
  <si>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</si>
  <si>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</si>
  <si>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</si>
  <si>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</si>
  <si>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</si>
  <si>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</si>
  <si>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</si>
  <si>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</si>
  <si>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</si>
  <si>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</si>
  <si>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</si>
  <si>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</si>
  <si>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</si>
  <si>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</si>
  <si>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</si>
  <si>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</si>
  <si>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</si>
  <si>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</si>
  <si>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</si>
  <si>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</si>
  <si>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</si>
  <si>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</si>
  <si>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</si>
  <si>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</si>
  <si>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</si>
  <si>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</si>
  <si>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</si>
  <si>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</si>
  <si>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</si>
  <si>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</si>
  <si>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</si>
  <si>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</si>
  <si>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</si>
  <si>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</si>
  <si>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</si>
  <si>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</si>
  <si>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</si>
  <si>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</si>
  <si>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</si>
  <si>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</si>
  <si>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</si>
  <si>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</si>
  <si>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</si>
  <si>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</si>
  <si>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</si>
  <si>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</si>
  <si>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</si>
  <si>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</si>
  <si>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</si>
  <si>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</si>
  <si>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</si>
  <si>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</si>
  <si>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</si>
  <si>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</si>
  <si>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</si>
  <si>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</si>
  <si>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</si>
  <si>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</si>
  <si>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</si>
  <si>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</si>
  <si>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</si>
  <si>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</si>
  <si>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</si>
  <si>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</si>
  <si>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</si>
  <si>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</si>
  <si>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</si>
  <si>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</si>
  <si>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</si>
  <si>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</si>
  <si>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</si>
  <si>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</si>
  <si>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</si>
  <si>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</si>
  <si>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</si>
  <si>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</si>
  <si>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</si>
  <si>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</si>
  <si>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</si>
  <si>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</si>
  <si>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</si>
  <si>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</si>
  <si>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</si>
  <si>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</si>
  <si>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</si>
  <si>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</si>
  <si>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</si>
  <si>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</si>
  <si>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</si>
  <si>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</si>
  <si>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</si>
  <si>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</si>
  <si>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</si>
  <si>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</si>
  <si>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</si>
  <si>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</si>
  <si>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</si>
  <si>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</si>
  <si>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</si>
  <si>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</si>
  <si>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</si>
  <si>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</si>
  <si>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</si>
  <si>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</si>
  <si>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</si>
  <si>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</si>
  <si>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</si>
  <si>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</si>
  <si>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</si>
  <si>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</si>
  <si>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</si>
  <si>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</si>
  <si>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</si>
  <si>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</si>
  <si>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</si>
  <si>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</si>
  <si>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</si>
  <si>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</si>
  <si>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</si>
  <si>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</si>
  <si>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</si>
  <si>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</si>
  <si>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</si>
  <si>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</si>
  <si>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</si>
  <si>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</si>
  <si>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</si>
  <si>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</si>
  <si>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</si>
  <si>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</si>
  <si>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</si>
  <si>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</si>
  <si>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</si>
  <si>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</si>
  <si>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</si>
  <si>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</si>
  <si>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</si>
  <si>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</si>
  <si>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</si>
  <si>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</si>
  <si>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</si>
  <si>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</si>
  <si>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</si>
  <si>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</si>
  <si>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</si>
  <si>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</si>
  <si>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</si>
  <si>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</si>
  <si>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</si>
  <si>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</si>
  <si>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</si>
  <si>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</si>
  <si>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</si>
  <si>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</si>
  <si>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</si>
  <si>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</si>
  <si>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</si>
  <si>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</si>
  <si>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</si>
  <si>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</si>
  <si>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</si>
  <si>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</si>
  <si>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</si>
  <si>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</si>
  <si>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</si>
  <si>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</si>
  <si>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</si>
  <si>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</si>
  <si>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</si>
  <si>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</si>
  <si>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</si>
  <si>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</si>
  <si>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</si>
  <si>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</si>
  <si>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</si>
  <si>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</si>
  <si>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</si>
  <si>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</si>
  <si>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</si>
  <si>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</si>
  <si>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</si>
  <si>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</si>
  <si>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</si>
  <si>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</si>
  <si>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</si>
  <si>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</si>
  <si>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</si>
  <si>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</si>
  <si>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</si>
  <si>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</si>
  <si>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</si>
  <si>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</si>
  <si>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</si>
  <si>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</si>
  <si>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</si>
  <si>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</si>
  <si>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</si>
  <si>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</si>
  <si>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</si>
  <si>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</si>
  <si>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</si>
  <si>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</si>
  <si>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</si>
  <si>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</si>
  <si>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</si>
  <si>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</si>
  <si>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</si>
  <si>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</si>
  <si>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</si>
  <si>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</si>
  <si>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</si>
  <si>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</si>
  <si>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</si>
  <si>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</si>
  <si>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</si>
  <si>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</si>
  <si>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</si>
  <si>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</si>
  <si>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</si>
  <si>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</si>
  <si>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</si>
  <si>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</si>
  <si>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</si>
  <si>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</si>
  <si>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</si>
  <si>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</si>
  <si>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</si>
  <si>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</si>
  <si>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</si>
  <si>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</si>
  <si>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</si>
  <si>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</si>
  <si>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</si>
  <si>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</si>
  <si>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</si>
  <si>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</si>
  <si>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</si>
  <si>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</si>
  <si>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</si>
  <si>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</si>
  <si>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</si>
  <si>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</si>
  <si>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</si>
  <si>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</si>
  <si>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</si>
  <si>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</si>
  <si>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</si>
  <si>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</si>
  <si>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</si>
  <si>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</si>
  <si>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</si>
  <si>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</si>
  <si>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</si>
  <si>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</si>
  <si>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</si>
  <si>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</si>
  <si>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</si>
  <si>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</si>
  <si>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</si>
  <si>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</si>
  <si>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</si>
  <si>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</si>
  <si>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</si>
  <si>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</si>
  <si>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</si>
  <si>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</si>
  <si>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</si>
  <si>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</si>
  <si>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</si>
  <si>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</si>
  <si>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</si>
  <si>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</si>
  <si>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</si>
  <si>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</si>
  <si>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</si>
  <si>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</si>
  <si>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</si>
  <si>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</si>
  <si>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</si>
  <si>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</si>
  <si>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</si>
  <si>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</si>
  <si>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</si>
  <si>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</si>
  <si>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</si>
  <si>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</si>
  <si>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</si>
  <si>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</si>
  <si>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</si>
  <si>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</si>
  <si>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</si>
  <si>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</si>
  <si>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</si>
  <si>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</si>
  <si>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</si>
  <si>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</si>
  <si>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</si>
  <si>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</si>
  <si>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</si>
  <si>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</si>
  <si>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</si>
  <si>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</si>
  <si>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</si>
  <si>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</si>
  <si>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</si>
  <si>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</si>
  <si>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</si>
  <si>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</si>
  <si>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</si>
  <si>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</si>
  <si>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</si>
  <si>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</si>
  <si>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</si>
  <si>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</si>
  <si>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</si>
  <si>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</si>
  <si>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</si>
  <si>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</si>
  <si>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</si>
  <si>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</si>
  <si>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</si>
  <si>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</si>
  <si>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</si>
  <si>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</si>
  <si>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</si>
  <si>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</si>
  <si>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</si>
  <si>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</si>
  <si>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</si>
  <si>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</si>
  <si>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</si>
  <si>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</si>
  <si>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</si>
  <si>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</si>
  <si>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</si>
  <si>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</si>
  <si>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</si>
  <si>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</si>
  <si>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</si>
  <si>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</si>
  <si>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</si>
  <si>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</si>
  <si>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</si>
  <si>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</si>
  <si>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</si>
  <si>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</si>
  <si>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</si>
  <si>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</si>
  <si>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</si>
  <si>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</si>
  <si>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</si>
  <si>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</si>
  <si>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</si>
  <si>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</si>
  <si>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</si>
  <si>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</si>
  <si>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</si>
  <si>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</si>
  <si>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</si>
  <si>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</si>
  <si>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</si>
  <si>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</si>
  <si>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</si>
  <si>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</si>
  <si>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</si>
  <si>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</si>
  <si>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</si>
  <si>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</si>
  <si>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</si>
  <si>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</si>
  <si>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</si>
  <si>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</si>
  <si>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</si>
  <si>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</si>
  <si>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</si>
  <si>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</si>
  <si>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</si>
  <si>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</si>
  <si>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</si>
  <si>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</si>
  <si>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</si>
  <si>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</si>
  <si>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</si>
  <si>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</si>
  <si>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</si>
  <si>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</si>
  <si>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</si>
  <si>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</si>
  <si>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</si>
  <si>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</si>
  <si>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</si>
  <si>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</si>
  <si>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</si>
  <si>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</si>
  <si>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</si>
  <si>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</si>
  <si>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</si>
  <si>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</si>
  <si>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</si>
  <si>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</si>
  <si>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</si>
  <si>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</si>
  <si>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</si>
  <si>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</si>
  <si>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</si>
  <si>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</si>
  <si>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</si>
  <si>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</si>
  <si>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</si>
  <si>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</si>
  <si>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</si>
  <si>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</si>
  <si>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</si>
  <si>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</si>
  <si>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</si>
  <si>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</si>
  <si>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</si>
  <si>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</si>
  <si>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</si>
  <si>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</si>
  <si>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</si>
  <si>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</si>
  <si>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</si>
  <si>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</si>
  <si>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</si>
  <si>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</si>
  <si>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</si>
  <si>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</si>
  <si>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</si>
  <si>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</si>
  <si>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</si>
  <si>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</si>
  <si>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</si>
  <si>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</si>
  <si>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</si>
  <si>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</si>
  <si>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</si>
  <si>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</si>
  <si>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</si>
  <si>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</si>
  <si>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</si>
  <si>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</si>
  <si>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</si>
  <si>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</si>
  <si>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</si>
  <si>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</si>
  <si>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</si>
  <si>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</si>
  <si>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</si>
  <si>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</si>
  <si>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</si>
  <si>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</si>
  <si>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</si>
  <si>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</si>
  <si>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</si>
  <si>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</si>
  <si>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</si>
  <si>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</si>
  <si>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</si>
  <si>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</si>
  <si>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</si>
  <si>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</si>
  <si>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</si>
  <si>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</si>
  <si>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</si>
  <si>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</si>
  <si>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</si>
  <si>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</si>
  <si>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</si>
  <si>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</si>
  <si>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</si>
  <si>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</si>
  <si>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</si>
  <si>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</si>
  <si>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</si>
  <si>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</si>
  <si>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</si>
  <si>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</si>
  <si>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</si>
  <si>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</si>
  <si>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</si>
  <si>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</si>
  <si>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</si>
  <si>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</si>
  <si>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</si>
  <si>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</si>
  <si>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</si>
  <si>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</si>
  <si>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</si>
  <si>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</si>
  <si>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</si>
  <si>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</si>
  <si>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</si>
  <si>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</si>
  <si>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</si>
  <si>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</si>
  <si>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</si>
  <si>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</si>
  <si>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</si>
  <si>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</si>
  <si>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</si>
  <si>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</si>
  <si>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</si>
  <si>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</si>
  <si>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</si>
  <si>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</si>
  <si>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</si>
  <si>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</si>
  <si>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</si>
  <si>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</si>
  <si>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</si>
  <si>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</si>
  <si>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</si>
  <si>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</si>
  <si>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</si>
  <si>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</si>
  <si>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</si>
  <si>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</si>
  <si>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</si>
  <si>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</si>
  <si>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</si>
  <si>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</si>
  <si>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</si>
  <si>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</si>
  <si>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</si>
  <si>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</si>
  <si>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</si>
  <si>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</si>
  <si>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</si>
  <si>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</si>
  <si>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</si>
  <si>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</si>
  <si>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</si>
  <si>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</si>
  <si>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</si>
  <si>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</si>
  <si>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</si>
  <si>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</si>
  <si>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</si>
  <si>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</si>
  <si>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</si>
  <si>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</si>
  <si>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</si>
  <si>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</si>
  <si>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</si>
  <si>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</si>
  <si>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</si>
  <si>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</si>
  <si>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</si>
  <si>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</si>
  <si>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</si>
  <si>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</si>
  <si>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</si>
  <si>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</si>
  <si>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</si>
  <si>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</si>
  <si>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</si>
  <si>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</si>
  <si>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</si>
  <si>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</si>
  <si>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</si>
  <si>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</si>
  <si>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</si>
  <si>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</si>
  <si>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</si>
  <si>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</si>
  <si>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</si>
  <si>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</si>
  <si>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</si>
  <si>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</si>
  <si>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</si>
  <si>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</si>
  <si>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</si>
  <si>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</si>
  <si>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</si>
  <si>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</si>
  <si>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</si>
  <si>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</si>
  <si>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</si>
  <si>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</si>
  <si>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</si>
  <si>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</si>
  <si>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</si>
  <si>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</si>
  <si>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</si>
  <si>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</si>
  <si>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</si>
  <si>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</si>
  <si>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</si>
  <si>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</si>
  <si>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</si>
  <si>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</si>
  <si>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</si>
  <si>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</si>
  <si>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</si>
  <si>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</si>
  <si>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</si>
  <si>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</si>
  <si>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</si>
  <si>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</si>
  <si>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</si>
  <si>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</si>
  <si>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</si>
  <si>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</si>
  <si>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</si>
  <si>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</si>
  <si>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</si>
  <si>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</si>
  <si>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</si>
  <si>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</si>
  <si>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</si>
  <si>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</si>
  <si>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</si>
  <si>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</si>
  <si>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</si>
  <si>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</si>
  <si>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</si>
  <si>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</si>
  <si>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</si>
  <si>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</si>
  <si>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</si>
  <si>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</si>
  <si>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</si>
  <si>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</si>
  <si>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</si>
  <si>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</si>
  <si>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</si>
  <si>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</si>
  <si>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</si>
  <si>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</si>
  <si>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</si>
  <si>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</si>
  <si>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</si>
  <si>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</si>
  <si>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</si>
  <si>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</si>
  <si>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</si>
  <si>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</si>
  <si>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</si>
  <si>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</si>
  <si>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</si>
  <si>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</si>
  <si>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</si>
  <si>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</si>
  <si>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</si>
  <si>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</si>
  <si>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</si>
  <si>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</si>
  <si>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</si>
  <si>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</si>
  <si>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</si>
  <si>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</si>
  <si>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</si>
  <si>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</si>
  <si>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</si>
  <si>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</si>
  <si>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</si>
  <si>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</si>
  <si>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</si>
  <si>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</si>
  <si>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</si>
  <si>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</si>
  <si>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</si>
  <si>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</si>
  <si>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</si>
  <si>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</si>
  <si>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</si>
  <si>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</si>
  <si>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</si>
  <si>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</si>
  <si>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</si>
  <si>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</si>
  <si>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</si>
  <si>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</si>
  <si>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</si>
  <si>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</si>
  <si>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</si>
  <si>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</si>
  <si>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</si>
  <si>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</si>
  <si>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</si>
  <si>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</si>
  <si>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</si>
  <si>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</si>
  <si>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</si>
  <si>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</si>
  <si>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</si>
  <si>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</si>
  <si>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</si>
  <si>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</si>
  <si>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</si>
  <si>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</si>
  <si>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</si>
  <si>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</si>
  <si>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</si>
  <si>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</si>
  <si>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</si>
  <si>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</si>
  <si>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</si>
  <si>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</si>
  <si>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</si>
  <si>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</si>
  <si>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</si>
  <si>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</si>
  <si>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</si>
  <si>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</si>
  <si>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</si>
  <si>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</si>
  <si>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</si>
  <si>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</si>
  <si>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</si>
  <si>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</si>
  <si>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</si>
  <si>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</si>
  <si>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</si>
  <si>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</si>
  <si>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</si>
  <si>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</si>
  <si>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</si>
  <si>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</si>
  <si>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</si>
  <si>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</si>
  <si>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</si>
  <si>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</si>
  <si>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</si>
  <si>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</si>
  <si>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</si>
  <si>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</si>
  <si>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</si>
  <si>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</si>
  <si>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</si>
  <si>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</si>
  <si>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</si>
  <si>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</si>
  <si>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</si>
  <si>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</si>
  <si>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</si>
  <si>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</si>
  <si>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</si>
  <si>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</si>
  <si>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</si>
  <si>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</si>
  <si>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</si>
  <si>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</si>
  <si>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</si>
  <si>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</si>
  <si>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</si>
  <si>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</si>
  <si>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</si>
  <si>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</si>
  <si>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</si>
  <si>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</si>
  <si>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</si>
  <si>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</si>
  <si>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</si>
  <si>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</si>
  <si>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</si>
  <si>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</si>
  <si>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</si>
  <si>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</si>
  <si>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</si>
  <si>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</si>
  <si>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</si>
  <si>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</si>
  <si>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</si>
  <si>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</si>
  <si>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</si>
  <si>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</si>
  <si>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</si>
  <si>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</si>
  <si>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</si>
  <si>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</si>
  <si>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</si>
  <si>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</si>
  <si>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</si>
  <si>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</si>
  <si>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</si>
  <si>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</si>
  <si>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</si>
  <si>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</si>
  <si>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</si>
  <si>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</si>
  <si>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</si>
  <si>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</si>
  <si>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</si>
  <si>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</si>
  <si>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</si>
  <si>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</si>
  <si>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</si>
  <si>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</si>
  <si>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</si>
  <si>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</si>
  <si>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</si>
  <si>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</si>
  <si>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</si>
  <si>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</si>
  <si>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</si>
  <si>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</si>
  <si>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</si>
  <si>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</si>
  <si>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</si>
  <si>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</si>
  <si>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</si>
  <si>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</si>
  <si>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</si>
  <si>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</si>
  <si>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</si>
  <si>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</si>
  <si>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</si>
  <si>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</si>
  <si>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</si>
  <si>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</si>
  <si>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</si>
  <si>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</si>
  <si>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</si>
  <si>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</si>
  <si>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</si>
  <si>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</si>
  <si>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</si>
  <si>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</si>
  <si>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</si>
  <si>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</si>
  <si>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</si>
  <si>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</si>
  <si>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</si>
  <si>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</si>
  <si>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</si>
  <si>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</si>
  <si>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</si>
  <si>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</si>
  <si>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</si>
  <si>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</si>
  <si>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</si>
  <si>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</si>
  <si>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</si>
  <si>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</si>
  <si>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</si>
  <si>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</si>
  <si>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</si>
  <si>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</si>
  <si>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</si>
  <si>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</si>
  <si>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</si>
  <si>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</si>
  <si>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</si>
  <si>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</si>
  <si>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</si>
  <si>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</si>
  <si>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</si>
  <si>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</si>
  <si>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</si>
  <si>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</si>
  <si>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</si>
  <si>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</si>
  <si>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</si>
  <si>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</si>
  <si>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</si>
  <si>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</si>
  <si>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</si>
  <si>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</si>
  <si>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</si>
  <si>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</si>
  <si>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</si>
  <si>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</si>
  <si>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</si>
  <si>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</si>
  <si>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</si>
  <si>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</si>
  <si>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</si>
  <si>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</si>
  <si>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</si>
  <si>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</si>
  <si>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</si>
  <si>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</si>
  <si>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</si>
  <si>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</si>
  <si>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</si>
  <si>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</si>
  <si>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</si>
  <si>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</si>
  <si>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</si>
  <si>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</si>
  <si>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</si>
  <si>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</si>
  <si>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</si>
  <si>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</si>
  <si>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</si>
  <si>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</si>
  <si>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</si>
  <si>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</si>
  <si>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</si>
  <si>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</si>
  <si>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</si>
  <si>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</si>
  <si>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</si>
  <si>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</si>
  <si>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</si>
  <si>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</si>
  <si>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</si>
  <si>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</si>
  <si>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</si>
  <si>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</si>
  <si>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</si>
  <si>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</si>
  <si>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</si>
  <si>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</si>
  <si>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</si>
  <si>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</si>
  <si>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</si>
  <si>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</si>
  <si>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</si>
  <si>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</si>
  <si>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</si>
  <si>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</si>
  <si>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</si>
  <si>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</si>
  <si>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</si>
  <si>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</si>
  <si>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</si>
  <si>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</si>
  <si>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</si>
  <si>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</si>
  <si>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</si>
  <si>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</si>
  <si>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</si>
  <si>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</si>
  <si>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</si>
  <si>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</si>
  <si>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</si>
  <si>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</si>
  <si>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</si>
  <si>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</si>
  <si>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</si>
  <si>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</si>
  <si>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</si>
  <si>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</si>
  <si>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</si>
  <si>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</si>
  <si>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</si>
  <si>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</si>
  <si>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</si>
  <si>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</si>
  <si>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</si>
  <si>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</si>
  <si>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</si>
  <si>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</si>
  <si>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</si>
  <si>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</si>
  <si>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</si>
  <si>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</si>
  <si>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</si>
  <si>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</si>
  <si>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</si>
  <si>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</si>
  <si>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</si>
  <si>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</si>
  <si>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</si>
  <si>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</si>
  <si>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</si>
  <si>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</si>
  <si>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</si>
  <si>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</si>
  <si>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</si>
  <si>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</si>
  <si>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</si>
  <si>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</si>
  <si>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</si>
  <si>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</si>
  <si>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</si>
  <si>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</si>
  <si>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</si>
  <si>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</si>
  <si>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</si>
  <si>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</si>
  <si>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</si>
  <si>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</si>
  <si>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</si>
  <si>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</si>
  <si>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</si>
  <si>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</si>
  <si>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</si>
  <si>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</si>
  <si>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</si>
  <si>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</si>
  <si>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</si>
  <si>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</si>
  <si>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</si>
  <si>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</si>
  <si>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</si>
  <si>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</si>
  <si>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</si>
  <si>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</si>
  <si>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</si>
  <si>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</si>
  <si>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</si>
  <si>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</si>
  <si>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</si>
  <si>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</si>
  <si>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</si>
  <si>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</si>
  <si>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</si>
  <si>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</si>
  <si>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</si>
  <si>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</si>
  <si>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</si>
  <si>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</si>
  <si>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</si>
  <si>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</si>
  <si>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</si>
  <si>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</si>
  <si>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</si>
  <si>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</si>
  <si>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</si>
  <si>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</si>
  <si>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</si>
  <si>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</si>
  <si>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</si>
  <si>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</si>
  <si>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</si>
  <si>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</si>
  <si>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</si>
  <si>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</si>
  <si>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</si>
  <si>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</si>
  <si>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</si>
  <si>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</si>
  <si>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</si>
  <si>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</si>
  <si>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</si>
  <si>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</si>
  <si>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</si>
  <si>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</si>
  <si>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</si>
  <si>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</si>
  <si>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</si>
  <si>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</si>
  <si>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</si>
  <si>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</si>
  <si>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</si>
  <si>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</si>
  <si>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</si>
  <si>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</si>
  <si>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</si>
  <si>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</si>
  <si>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</si>
  <si>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</si>
  <si>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</si>
  <si>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</si>
  <si>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</si>
  <si>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</si>
  <si>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</si>
  <si>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</si>
  <si>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</si>
  <si>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</si>
  <si>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</si>
  <si>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</si>
  <si>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</si>
  <si>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</si>
  <si>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</si>
  <si>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</si>
  <si>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</si>
  <si>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</si>
  <si>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</si>
  <si>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</si>
  <si>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</si>
  <si>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</si>
  <si>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</si>
  <si>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</si>
  <si>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</si>
  <si>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</si>
  <si>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</si>
  <si>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</si>
  <si>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</si>
  <si>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</si>
  <si>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</si>
  <si>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</si>
  <si>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</si>
  <si>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</si>
  <si>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</si>
  <si>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</si>
  <si>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</si>
  <si>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</si>
  <si>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</si>
  <si>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</si>
  <si>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</si>
  <si>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</si>
  <si>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</si>
  <si>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</si>
  <si>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</si>
  <si>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</si>
  <si>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</si>
  <si>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</si>
  <si>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</si>
  <si>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</si>
  <si>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</si>
  <si>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</si>
  <si>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</si>
  <si>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</si>
  <si>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</si>
  <si>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</si>
  <si>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</si>
  <si>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</si>
  <si>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</si>
  <si>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</si>
  <si>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</si>
  <si>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</si>
  <si>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</si>
  <si>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</si>
  <si>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</si>
  <si>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</si>
  <si>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</si>
  <si>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</si>
  <si>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</si>
  <si>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</si>
  <si>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</si>
  <si>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</si>
  <si>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</si>
  <si>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</si>
  <si>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</si>
  <si>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</si>
  <si>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</si>
  <si>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</si>
  <si>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</si>
  <si>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</si>
  <si>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</si>
  <si>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</si>
  <si>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</si>
  <si>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</si>
  <si>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</si>
  <si>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</si>
  <si>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</si>
  <si>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</si>
  <si>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</si>
  <si>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</si>
  <si>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</si>
  <si>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</si>
  <si>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</si>
  <si>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</si>
  <si>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</si>
  <si>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</si>
  <si>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</si>
  <si>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</si>
  <si>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</si>
  <si>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</si>
  <si>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</si>
  <si>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</si>
  <si>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</si>
  <si>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</si>
  <si>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</si>
  <si>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</si>
  <si>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</si>
  <si>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</si>
  <si>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</si>
  <si>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</si>
  <si>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</si>
  <si>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</si>
  <si>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</si>
  <si>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</si>
  <si>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</si>
  <si>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</si>
  <si>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</si>
  <si>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</si>
  <si>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</si>
  <si>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</si>
  <si>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</si>
  <si>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</si>
  <si>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</si>
  <si>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</si>
  <si>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</si>
  <si>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</si>
  <si>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</si>
  <si>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</si>
  <si>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</si>
  <si>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</si>
  <si>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</si>
  <si>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</si>
  <si>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</si>
  <si>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</si>
  <si>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</si>
  <si>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</si>
  <si>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</si>
  <si>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</si>
  <si>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</si>
  <si>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</si>
  <si>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</si>
  <si>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</si>
  <si>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</si>
  <si>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</si>
  <si>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</si>
  <si>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</si>
  <si>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</si>
  <si>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</si>
  <si>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</si>
  <si>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</si>
  <si>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</si>
  <si>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</si>
  <si>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</si>
  <si>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</si>
  <si>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</si>
  <si>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</si>
  <si>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</si>
  <si>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</si>
  <si>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</si>
  <si>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</si>
  <si>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</si>
  <si>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</si>
  <si>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</si>
  <si>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</si>
  <si>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</si>
  <si>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</si>
  <si>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</si>
  <si>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</si>
  <si>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</si>
  <si>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</si>
  <si>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</si>
  <si>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</si>
  <si>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</si>
  <si>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</si>
  <si>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</si>
  <si>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</si>
  <si>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</si>
  <si>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</si>
  <si>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</si>
  <si>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</si>
  <si>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</si>
  <si>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</si>
  <si>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</si>
  <si>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</si>
  <si>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</si>
  <si>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</si>
  <si>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</si>
  <si>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</si>
  <si>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</si>
  <si>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</si>
  <si>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Elite RF LLC</t>
  </si>
  <si>
    <t>1700 Tower Dr, Hanover Park, IL 60133, USA</t>
  </si>
  <si>
    <t>Deep Patel</t>
  </si>
  <si>
    <t>deep@eliterf.com</t>
  </si>
  <si>
    <t>2242760071</t>
  </si>
  <si>
    <t>8475926350</t>
  </si>
  <si>
    <t>COO</t>
  </si>
  <si>
    <t>https://eliterfllc.com/wp-content/uploads/2024/05/Elite_RF_Conflict_Mineral_Policy.pdf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</si>
</sst>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deep@eliterf.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eliterfllc.com/wp-content/uploads/2024/05/Elite_RF_Conflict_Mineral_Policy.pdf" TargetMode="External"/><Relationship Id="rId4" Type="http://schemas.openxmlformats.org/officeDocument/2006/relationships/hyperlink" Target="mailto:deep@eliterf.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6"/>
  <cols>
    <col min="1" max="1" width="0.90625" customWidth="1"/>
    <col min="2" max="2" width="8" customWidth="1"/>
    <col min="3" max="3" width="8.6328125" customWidth="1"/>
    <col min="4" max="4" width="13" style="180" customWidth="1"/>
    <col min="5" max="5" width="42.36328125" customWidth="1"/>
    <col min="6" max="6" width="53.36328125" customWidth="1"/>
    <col min="7" max="7" width="0.90625" customWidth="1"/>
  </cols>
  <sheetData>
    <row r="1" spans="1:7" ht="13.2"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
      <c r="A4" s="308"/>
      <c r="B4" s="30" t="s">
        <v>839</v>
      </c>
      <c r="C4" s="6"/>
      <c r="D4" s="177"/>
      <c r="E4" s="3"/>
      <c r="F4" s="6"/>
      <c r="G4" s="25"/>
    </row>
    <row r="5" spans="1:7" ht="13.2">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20.399999999999999">
      <c r="A13" s="308"/>
      <c r="B13" s="2">
        <v>1</v>
      </c>
      <c r="C13" s="27" t="s">
        <v>1078</v>
      </c>
      <c r="D13" s="28" t="s">
        <v>866</v>
      </c>
      <c r="E13" s="163" t="s">
        <v>843</v>
      </c>
      <c r="F13" s="163"/>
      <c r="G13" s="25"/>
    </row>
    <row r="14" spans="1:7" ht="30.6">
      <c r="A14" s="308"/>
      <c r="B14" s="2">
        <v>2</v>
      </c>
      <c r="C14" s="27" t="s">
        <v>1078</v>
      </c>
      <c r="D14" s="28" t="s">
        <v>1015</v>
      </c>
      <c r="E14" s="163" t="s">
        <v>526</v>
      </c>
      <c r="F14" s="163" t="s">
        <v>527</v>
      </c>
      <c r="G14" s="25"/>
    </row>
    <row r="15" spans="1:7" ht="89.1"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099999999999994"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50000000000001" customHeight="1">
      <c r="A28" s="308"/>
      <c r="B28" s="297"/>
      <c r="C28" s="294"/>
      <c r="D28" s="315"/>
      <c r="E28" s="306"/>
      <c r="F28" s="165" t="s">
        <v>57</v>
      </c>
      <c r="G28" s="25"/>
    </row>
    <row r="29" spans="1:7" ht="74.400000000000006" customHeight="1">
      <c r="A29" s="308"/>
      <c r="B29" s="297"/>
      <c r="C29" s="294"/>
      <c r="D29" s="315"/>
      <c r="E29" s="306"/>
      <c r="F29" s="165" t="s">
        <v>58</v>
      </c>
      <c r="G29" s="25"/>
    </row>
    <row r="30" spans="1:7" ht="62.4"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4" customHeight="1">
      <c r="A33" s="308"/>
      <c r="B33" s="297"/>
      <c r="C33" s="294"/>
      <c r="D33" s="315"/>
      <c r="E33" s="306"/>
      <c r="F33" s="165" t="s">
        <v>62</v>
      </c>
      <c r="G33" s="25"/>
    </row>
    <row r="34" spans="1:7" ht="89.1" customHeight="1">
      <c r="A34" s="308"/>
      <c r="B34" s="297"/>
      <c r="C34" s="294"/>
      <c r="D34" s="315"/>
      <c r="E34" s="306"/>
      <c r="F34" s="165" t="s">
        <v>64</v>
      </c>
      <c r="G34" s="25"/>
    </row>
    <row r="35" spans="1:7" ht="29.1" customHeight="1">
      <c r="A35" s="308"/>
      <c r="B35" s="297"/>
      <c r="C35" s="294"/>
      <c r="D35" s="315"/>
      <c r="E35" s="306"/>
      <c r="F35" s="165" t="s">
        <v>65</v>
      </c>
      <c r="G35" s="25"/>
    </row>
    <row r="36" spans="1:7" ht="112.2">
      <c r="A36" s="308"/>
      <c r="B36" s="298"/>
      <c r="C36" s="295"/>
      <c r="D36" s="316"/>
      <c r="E36" s="307"/>
      <c r="F36" s="166" t="s">
        <v>66</v>
      </c>
      <c r="G36" s="25"/>
    </row>
    <row r="37" spans="1:7" ht="102">
      <c r="A37" s="308"/>
      <c r="B37" s="141">
        <v>3.01</v>
      </c>
      <c r="C37" s="142" t="s">
        <v>67</v>
      </c>
      <c r="D37" s="28" t="s">
        <v>2234</v>
      </c>
      <c r="E37" s="167" t="s">
        <v>1316</v>
      </c>
      <c r="F37" s="168" t="s">
        <v>1420</v>
      </c>
      <c r="G37" s="25"/>
    </row>
    <row r="38" spans="1:7" ht="81.599999999999994">
      <c r="A38" s="308"/>
      <c r="B38" s="141">
        <v>3.02</v>
      </c>
      <c r="C38" s="142" t="s">
        <v>1349</v>
      </c>
      <c r="D38" s="28" t="s">
        <v>2235</v>
      </c>
      <c r="E38" s="167" t="s">
        <v>1364</v>
      </c>
      <c r="F38" s="168" t="s">
        <v>1421</v>
      </c>
      <c r="G38" s="25"/>
    </row>
    <row r="39" spans="1:7" ht="81.599999999999994">
      <c r="A39" s="308"/>
      <c r="B39" s="150">
        <v>4</v>
      </c>
      <c r="C39" s="149" t="s">
        <v>1517</v>
      </c>
      <c r="D39" s="28" t="s">
        <v>2236</v>
      </c>
      <c r="E39" s="27" t="s">
        <v>2182</v>
      </c>
      <c r="F39" s="27" t="s">
        <v>1518</v>
      </c>
      <c r="G39" s="25"/>
    </row>
    <row r="40" spans="1:7" ht="40.799999999999997">
      <c r="A40" s="308"/>
      <c r="B40" s="141">
        <v>4.01</v>
      </c>
      <c r="C40" s="149" t="s">
        <v>1517</v>
      </c>
      <c r="D40" s="28" t="s">
        <v>2238</v>
      </c>
      <c r="E40" s="27" t="s">
        <v>2194</v>
      </c>
      <c r="F40" s="27" t="s">
        <v>2198</v>
      </c>
      <c r="G40" s="25"/>
    </row>
    <row r="41" spans="1:7" ht="40.799999999999997">
      <c r="A41" s="308"/>
      <c r="B41" s="141" t="s">
        <v>2225</v>
      </c>
      <c r="C41" s="149" t="s">
        <v>1517</v>
      </c>
      <c r="D41" s="28" t="s">
        <v>2237</v>
      </c>
      <c r="E41" s="27" t="s">
        <v>2228</v>
      </c>
      <c r="F41" s="27" t="s">
        <v>2226</v>
      </c>
      <c r="G41" s="25"/>
    </row>
    <row r="42" spans="1:7" ht="40.799999999999997">
      <c r="A42" s="308"/>
      <c r="B42" s="141" t="s">
        <v>2259</v>
      </c>
      <c r="C42" s="149" t="s">
        <v>1517</v>
      </c>
      <c r="D42" s="28" t="s">
        <v>2264</v>
      </c>
      <c r="E42" s="27" t="s">
        <v>2227</v>
      </c>
      <c r="F42" s="27" t="s">
        <v>2260</v>
      </c>
      <c r="G42" s="25"/>
    </row>
    <row r="43" spans="1:7" ht="112.2">
      <c r="A43" s="308"/>
      <c r="B43" s="160">
        <v>4.0999999999999996</v>
      </c>
      <c r="C43" s="149" t="s">
        <v>2263</v>
      </c>
      <c r="D43" s="161">
        <v>42867</v>
      </c>
      <c r="E43" s="169" t="s">
        <v>2266</v>
      </c>
      <c r="F43" s="27" t="s">
        <v>2265</v>
      </c>
      <c r="G43" s="25"/>
    </row>
    <row r="44" spans="1:7" ht="71.400000000000006">
      <c r="A44" s="308"/>
      <c r="B44" s="160">
        <v>4.2</v>
      </c>
      <c r="C44" s="149" t="s">
        <v>2263</v>
      </c>
      <c r="D44" s="161">
        <v>42704</v>
      </c>
      <c r="E44" s="169" t="s">
        <v>2462</v>
      </c>
      <c r="F44" s="27" t="s">
        <v>2437</v>
      </c>
      <c r="G44" s="25"/>
    </row>
    <row r="45" spans="1:7" ht="132.6">
      <c r="A45" s="308"/>
      <c r="B45" s="202">
        <v>5</v>
      </c>
      <c r="C45" s="149" t="s">
        <v>2263</v>
      </c>
      <c r="D45" s="161">
        <v>42867</v>
      </c>
      <c r="E45" s="169" t="s">
        <v>12683</v>
      </c>
      <c r="F45" s="27" t="s">
        <v>12405</v>
      </c>
      <c r="G45" s="25"/>
    </row>
    <row r="46" spans="1:7" ht="30.6">
      <c r="A46" s="308"/>
      <c r="B46" s="160">
        <v>5.01</v>
      </c>
      <c r="C46" s="149" t="s">
        <v>2263</v>
      </c>
      <c r="D46" s="161">
        <v>42907</v>
      </c>
      <c r="E46" s="169" t="s">
        <v>15484</v>
      </c>
      <c r="F46" s="27" t="s">
        <v>12405</v>
      </c>
      <c r="G46" s="25"/>
    </row>
    <row r="47" spans="1:7" ht="61.2">
      <c r="A47" s="308"/>
      <c r="B47" s="160">
        <v>5.0999999999999996</v>
      </c>
      <c r="C47" s="149" t="s">
        <v>2263</v>
      </c>
      <c r="D47" s="161">
        <v>43070</v>
      </c>
      <c r="E47" s="169" t="s">
        <v>12893</v>
      </c>
      <c r="F47" s="27" t="s">
        <v>12894</v>
      </c>
      <c r="G47" s="25"/>
    </row>
    <row r="48" spans="1:7" ht="51">
      <c r="A48" s="308"/>
      <c r="B48" s="160">
        <v>5.1100000000000003</v>
      </c>
      <c r="C48" s="149" t="s">
        <v>13129</v>
      </c>
      <c r="D48" s="161">
        <v>43217</v>
      </c>
      <c r="E48" s="169" t="s">
        <v>13255</v>
      </c>
      <c r="F48" s="27" t="s">
        <v>13163</v>
      </c>
      <c r="G48" s="25"/>
    </row>
    <row r="49" spans="1:7" ht="51">
      <c r="A49" s="308"/>
      <c r="B49" s="160">
        <v>5.12</v>
      </c>
      <c r="C49" s="149" t="s">
        <v>13129</v>
      </c>
      <c r="D49" s="161">
        <v>43581</v>
      </c>
      <c r="E49" s="169" t="s">
        <v>13255</v>
      </c>
      <c r="F49" s="27" t="s">
        <v>13807</v>
      </c>
      <c r="G49" s="25"/>
    </row>
    <row r="50" spans="1:7" ht="71.400000000000006">
      <c r="A50" s="308"/>
      <c r="B50" s="202">
        <v>6</v>
      </c>
      <c r="C50" s="149" t="s">
        <v>13129</v>
      </c>
      <c r="D50" s="161">
        <v>43964</v>
      </c>
      <c r="E50" s="169" t="s">
        <v>14020</v>
      </c>
      <c r="F50" s="27" t="s">
        <v>13810</v>
      </c>
      <c r="G50" s="25"/>
    </row>
    <row r="51" spans="1:7" ht="40.799999999999997">
      <c r="A51" s="308"/>
      <c r="B51" s="160">
        <v>6.01</v>
      </c>
      <c r="C51" s="149" t="s">
        <v>13129</v>
      </c>
      <c r="D51" s="161">
        <v>43970</v>
      </c>
      <c r="E51" s="169" t="s">
        <v>15485</v>
      </c>
      <c r="F51" s="169" t="s">
        <v>13810</v>
      </c>
      <c r="G51" s="25"/>
    </row>
    <row r="52" spans="1:7" ht="40.799999999999997">
      <c r="A52" s="308"/>
      <c r="B52" s="160">
        <v>6.1</v>
      </c>
      <c r="C52" s="149" t="s">
        <v>13129</v>
      </c>
      <c r="D52" s="161">
        <v>44314</v>
      </c>
      <c r="E52" s="169" t="s">
        <v>15477</v>
      </c>
      <c r="F52" s="169" t="s">
        <v>15015</v>
      </c>
      <c r="G52" s="25"/>
    </row>
    <row r="53" spans="1:7" ht="40.799999999999997">
      <c r="A53" s="308"/>
      <c r="B53" s="160">
        <v>6.2</v>
      </c>
      <c r="C53" s="149" t="s">
        <v>13129</v>
      </c>
      <c r="D53" s="161">
        <v>44678</v>
      </c>
      <c r="E53" s="169" t="s">
        <v>15477</v>
      </c>
      <c r="F53" s="169" t="s">
        <v>15476</v>
      </c>
      <c r="G53" s="25"/>
    </row>
    <row r="54" spans="1:7" ht="40.799999999999997">
      <c r="A54" s="308"/>
      <c r="B54" s="160">
        <v>6.21</v>
      </c>
      <c r="C54" s="149" t="s">
        <v>13129</v>
      </c>
      <c r="D54" s="161">
        <v>44687</v>
      </c>
      <c r="E54" s="169" t="s">
        <v>15486</v>
      </c>
      <c r="F54" s="169" t="s">
        <v>15476</v>
      </c>
      <c r="G54" s="25"/>
    </row>
    <row r="55" spans="1:7" ht="40.799999999999997">
      <c r="A55" s="308"/>
      <c r="B55" s="160">
        <v>6.22</v>
      </c>
      <c r="C55" s="149" t="s">
        <v>13129</v>
      </c>
      <c r="D55" s="275">
        <v>44692</v>
      </c>
      <c r="E55" s="169" t="s">
        <v>15485</v>
      </c>
      <c r="F55" s="169" t="s">
        <v>15476</v>
      </c>
      <c r="G55" s="25"/>
    </row>
    <row r="56" spans="1:7" ht="51">
      <c r="A56" s="308"/>
      <c r="B56" s="202">
        <v>6.3</v>
      </c>
      <c r="C56" s="149" t="s">
        <v>13129</v>
      </c>
      <c r="D56" s="275">
        <v>45051</v>
      </c>
      <c r="E56" s="169" t="s">
        <v>15753</v>
      </c>
      <c r="F56" s="169" t="s">
        <v>15534</v>
      </c>
      <c r="G56" s="25"/>
    </row>
    <row r="57" spans="1:7" ht="40.799999999999997">
      <c r="A57" s="308"/>
      <c r="B57" s="160">
        <v>6.31</v>
      </c>
      <c r="C57" s="149" t="s">
        <v>13129</v>
      </c>
      <c r="D57" s="275">
        <v>45072</v>
      </c>
      <c r="E57" s="169" t="s">
        <v>15755</v>
      </c>
      <c r="F57" s="169" t="s">
        <v>15534</v>
      </c>
      <c r="G57" s="25"/>
    </row>
    <row r="58" spans="1:7" ht="44.4" customHeight="1">
      <c r="A58" s="308"/>
      <c r="B58" s="202">
        <v>6.4</v>
      </c>
      <c r="C58" s="149" t="s">
        <v>13129</v>
      </c>
      <c r="D58" s="275">
        <v>45408</v>
      </c>
      <c r="E58" s="169" t="s">
        <v>15757</v>
      </c>
      <c r="F58" s="169" t="s">
        <v>15756</v>
      </c>
      <c r="G58" s="25"/>
    </row>
    <row r="59" spans="1:7" ht="13.2" thickBot="1">
      <c r="A59" s="309"/>
      <c r="B59" s="310" t="str">
        <f ca="1">OFFSET(L!$C$1,MATCH("General"&amp;"Cpy",L!$A:$A,0)-1,SL,,)</f>
        <v>© 2024 Responsible Minerals Initiative. All rights reserved.</v>
      </c>
      <c r="C59" s="310"/>
      <c r="D59" s="310"/>
      <c r="E59" s="310"/>
      <c r="F59" s="310"/>
      <c r="G59" s="26"/>
    </row>
    <row r="60" spans="1:7" ht="13.2"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9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40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64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6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0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 customHeight="1">
      <c r="A52" s="102" t="str">
        <f ca="1">OFFSET(L!$C$1,MATCH("Instructions"&amp;ADDRESS(ROW(),COLUMN(),4),L!$A:$A,0)-1,SL,,)</f>
        <v>2. Metal (*)   -   Use the pull down menu to select the metal for which you are entering smelter information.  This field is mandatory.</v>
      </c>
      <c r="B52" s="100"/>
    </row>
    <row r="53" spans="1:2" ht="78.90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40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90625" defaultRowHeight="12.6"/>
  <cols>
    <col min="1" max="1" width="1.6328125" customWidth="1"/>
    <col min="2" max="2" width="35.6328125" customWidth="1"/>
    <col min="3" max="3" width="105.6328125" customWidth="1"/>
    <col min="4" max="5" width="1.6328125" customWidth="1"/>
    <col min="6" max="6" width="4.6328125" customWidth="1"/>
    <col min="7" max="7" width="4.9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8.6">
      <c r="A10" s="74"/>
      <c r="B10" s="63" t="str">
        <f ca="1">OFFSET(L!$C$1,MATCH("Definitions"&amp;ADDRESS(ROW(),COLUMN(),4),L!$A:$A,0)-1,SL,,)</f>
        <v>DRC</v>
      </c>
      <c r="C10" s="63" t="str">
        <f ca="1">OFFSET(L!$C$1,MATCH("Definitions"&amp;ADDRESS(ROW(),COLUMN(),4),L!$A:$A,0)-1,SL,,)</f>
        <v>Democratic Republic of Congo</v>
      </c>
      <c r="D10" s="321"/>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2024 Responsible Minerals Initiative. All rights reserved.</v>
      </c>
      <c r="C32" s="320"/>
      <c r="D32" s="321"/>
      <c r="E32" s="100"/>
    </row>
    <row r="33" spans="1:4" ht="13.2" thickBot="1">
      <c r="A33" s="75"/>
      <c r="B33" s="153"/>
      <c r="C33" s="153"/>
      <c r="D33" s="322"/>
    </row>
    <row r="34" spans="1:4" ht="13.2"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69" zoomScale="80" zoomScaleNormal="80" zoomScalePageLayoutView="70" workbookViewId="0">
      <selection activeCell="G79" sqref="G79:J79"/>
    </sheetView>
  </sheetViews>
  <sheetFormatPr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hidden="1" customWidth="1"/>
    <col min="13" max="15" width="4.90625" hidden="1" customWidth="1"/>
    <col min="16" max="24" width="9.08984375" hidden="1" customWidth="1"/>
    <col min="25" max="25" width="0" hidden="1" customWidth="1"/>
  </cols>
  <sheetData>
    <row r="1" spans="1:34" ht="16.8"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6.2">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6.2">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15856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78" t="s">
        <v>15858</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15860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23" t="s">
        <v>15857</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15861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78" t="s">
        <v>15858</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81" t="s">
        <v>15859</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84">
        <v>45603</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 xml:space="preserve">Tantalum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 xml:space="preserve">Tin  </v>
      </c>
      <c r="C27" s="35"/>
      <c r="D27" s="326" t="s">
        <v>485</v>
      </c>
      <c r="E27" s="327"/>
      <c r="F27" s="12"/>
      <c r="G27" s="328"/>
      <c r="H27" s="329"/>
      <c r="I27" s="329"/>
      <c r="J27" s="330"/>
      <c r="K27" s="36"/>
      <c r="L27" s="116"/>
      <c r="P27" s="45" t="str">
        <f>IF(D$27="No","","(*)")</f>
        <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 xml:space="preserve">Gold  </v>
      </c>
      <c r="C28" s="35"/>
      <c r="D28" s="326" t="s">
        <v>485</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 xml:space="preserve">Tungsten  </v>
      </c>
      <c r="C29" s="35"/>
      <c r="D29" s="326" t="s">
        <v>485</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v>
      </c>
      <c r="C31" s="10"/>
      <c r="D31" s="335" t="str">
        <f ca="1">D25</f>
        <v>Answer</v>
      </c>
      <c r="E31" s="335"/>
      <c r="F31" s="18"/>
      <c r="G31" s="44" t="str">
        <f ca="1">G25</f>
        <v>Comments</v>
      </c>
      <c r="H31" s="44"/>
      <c r="I31" s="44"/>
      <c r="J31" s="83"/>
      <c r="K31" s="36"/>
      <c r="L31" s="111" t="s">
        <v>1231</v>
      </c>
      <c r="P31" s="45">
        <f>COUNTIF(D$26:D$29,"No")</f>
        <v>4</v>
      </c>
      <c r="Q31" s="45" t="str">
        <f>IF(P31=4,""," (*)")</f>
        <v/>
      </c>
      <c r="R31" s="3"/>
      <c r="S31" s="3"/>
      <c r="T31" s="3"/>
      <c r="U31" s="3"/>
      <c r="V31" s="3"/>
      <c r="W31" s="3"/>
      <c r="X31" s="3"/>
      <c r="Y31" s="3"/>
      <c r="Z31" s="3"/>
      <c r="AA31" s="3"/>
      <c r="AB31" s="3"/>
      <c r="AC31" s="3"/>
      <c r="AD31" s="3"/>
      <c r="AE31" s="3"/>
      <c r="AF31" s="3"/>
      <c r="AG31" s="3"/>
      <c r="AH31" s="3"/>
    </row>
    <row r="32" spans="1:34" ht="22.2">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 xml:space="preserve">Tin  </v>
      </c>
      <c r="C33" s="10"/>
      <c r="D33" s="326"/>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v>
      </c>
      <c r="C37" s="10"/>
      <c r="D37" s="335" t="str">
        <f ca="1">D25</f>
        <v>Answer</v>
      </c>
      <c r="E37" s="335"/>
      <c r="F37" s="18"/>
      <c r="G37" s="44" t="str">
        <f ca="1">G25</f>
        <v>Comments</v>
      </c>
      <c r="H37" s="349"/>
      <c r="I37" s="349"/>
      <c r="J37" s="349"/>
      <c r="K37" s="36"/>
      <c r="L37" s="111" t="s">
        <v>1231</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 xml:space="preserve">Tin  </v>
      </c>
      <c r="C39" s="10"/>
      <c r="D39" s="326"/>
      <c r="E39" s="327"/>
      <c r="F39" s="47"/>
      <c r="G39" s="328"/>
      <c r="H39" s="329"/>
      <c r="I39" s="329"/>
      <c r="J39" s="330"/>
      <c r="K39" s="36"/>
      <c r="L39" s="116"/>
      <c r="P39" s="45" t="str">
        <f>IF((OR(D$27="No",D$33="No")),"","(*)")</f>
        <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v>
      </c>
      <c r="C43" s="10"/>
      <c r="D43" s="335" t="str">
        <f ca="1">D25</f>
        <v>Answer</v>
      </c>
      <c r="E43" s="335"/>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26"/>
      <c r="E45" s="327"/>
      <c r="F45" s="47"/>
      <c r="G45" s="328"/>
      <c r="H45" s="329"/>
      <c r="I45" s="329"/>
      <c r="J45" s="330"/>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 xml:space="preserve">Tin  </v>
      </c>
      <c r="C51" s="10"/>
      <c r="D51" s="326"/>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 xml:space="preserve">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 xml:space="preserve">Tin  </v>
      </c>
      <c r="C57" s="35"/>
      <c r="D57" s="347"/>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 xml:space="preserve">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 xml:space="preserve">Tin  </v>
      </c>
      <c r="C63" s="10"/>
      <c r="D63" s="326"/>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 xml:space="preserve">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 xml:space="preserve">Tin  </v>
      </c>
      <c r="C69" s="35"/>
      <c r="D69" s="326"/>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v>
      </c>
      <c r="C77" s="57"/>
      <c r="D77" s="326" t="s">
        <v>484</v>
      </c>
      <c r="E77" s="327"/>
      <c r="F77" s="57"/>
      <c r="G77" s="354" t="s">
        <v>15862</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26"/>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26"/>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26"/>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39"/>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v>
      </c>
      <c r="C87" s="57"/>
      <c r="D87" s="326"/>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v>
      </c>
      <c r="C89" s="57"/>
      <c r="D89" s="326"/>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6.8"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 hidden="1">
      <c r="B98" s="56" t="s">
        <v>486</v>
      </c>
      <c r="D98" s="282" t="str">
        <f>IF(AND(OR($D$26="Yes",$D$26=""),OR($D$32="Yes",$D$32="")),"Unknown","")</f>
        <v/>
      </c>
      <c r="E98" s="282" t="str">
        <f>IF(AND(OR($D$26="Yes",$D$26=""),OR($D$32="Yes",$D$32="")),"Greater than 75%","")</f>
        <v/>
      </c>
      <c r="G98" s="282" t="str">
        <f>IF(OR($D$27="Yes",$D$27=""),"Yes","")</f>
        <v/>
      </c>
    </row>
    <row r="99" spans="2:7" ht="15" hidden="1">
      <c r="B99" s="188">
        <v>1</v>
      </c>
      <c r="D99" s="282" t="str">
        <f>IF(AND(OR($D$27="Yes",$D$27=""),OR($D$33="Yes",$D$33="")),"Yes","")</f>
        <v/>
      </c>
      <c r="E99" s="282" t="str">
        <f>IF(AND(OR($D$26="Yes",$D$26=""),OR($D$32="Yes",$D$32="")),"Greater than 50%","")</f>
        <v/>
      </c>
      <c r="G99" s="282" t="str">
        <f>IF(OR($D$27="Yes",$D$27=""),"No","")</f>
        <v/>
      </c>
    </row>
    <row r="100" spans="2:7" ht="15" hidden="1">
      <c r="B100" s="236" t="s">
        <v>2463</v>
      </c>
      <c r="D100" s="282" t="str">
        <f>IF(AND(OR($D$27="Yes",$D$27=""),OR($D$33="Yes",$D$33="")),"No","")</f>
        <v/>
      </c>
      <c r="E100" s="282" t="str">
        <f>IF(AND(OR($D$26="Yes",$D$26=""),OR($D$32="Yes",$D$32="")),"50% or less","")</f>
        <v/>
      </c>
      <c r="G100" s="282" t="str">
        <f>IF(OR($D$28="Yes",$D$28=""),"Yes","")</f>
        <v/>
      </c>
    </row>
    <row r="101" spans="2:7" ht="15" hidden="1">
      <c r="B101" s="236" t="s">
        <v>2464</v>
      </c>
      <c r="D101" s="282" t="str">
        <f>IF(AND(OR($D$27="Yes",$D$27=""),OR($D$33="Yes",$D$33="")),"Unknown","")</f>
        <v/>
      </c>
      <c r="E101" s="282" t="str">
        <f>IF(AND(OR($D$26="Yes",$D$26=""),OR($D$32="Yes",$D$32="")),"None","")</f>
        <v/>
      </c>
      <c r="G101" s="282" t="str">
        <f>IF(OR($D$28="Yes",$D$28=""),"No","")</f>
        <v/>
      </c>
    </row>
    <row r="102" spans="2:7" ht="15" hidden="1">
      <c r="B102" s="236" t="s">
        <v>2465</v>
      </c>
      <c r="D102" s="282" t="str">
        <f>IF(AND(OR($D$28="Yes",$D$28=""),OR($D$34="Yes",$D$34="")),"Yes","")</f>
        <v/>
      </c>
      <c r="E102" s="282" t="str">
        <f>IF(AND(OR($D$27="Yes",$D$27=""),OR($D$33="Yes",$D$33="")),"100%","")</f>
        <v/>
      </c>
      <c r="G102" s="282" t="str">
        <f>IF(OR($D$29="Yes",$D$29=""),"Yes","")</f>
        <v/>
      </c>
    </row>
    <row r="103" spans="2:7" ht="15" hidden="1">
      <c r="B103" s="236" t="s">
        <v>2466</v>
      </c>
      <c r="D103" s="282" t="str">
        <f>IF(AND(OR($D$28="Yes",$D$28=""),OR($D$34="Yes",$D$34="")),"No","")</f>
        <v/>
      </c>
      <c r="E103" s="282" t="str">
        <f>IF(AND(OR($D$27="Yes",$D$27=""),OR($D$33="Yes",$D$33="")),"Greater than 90%","")</f>
        <v/>
      </c>
      <c r="G103" s="282" t="str">
        <f>IF(OR($D$29="Yes",$D$29=""),"No","")</f>
        <v/>
      </c>
    </row>
    <row r="104" spans="2:7" ht="15" hidden="1">
      <c r="B104" s="236" t="s">
        <v>487</v>
      </c>
      <c r="D104" s="282" t="str">
        <f>IF(AND(OR($D$28="Yes",$D$28=""),OR($D$34="Yes",$D$34="")),"Unknown","")</f>
        <v/>
      </c>
      <c r="E104" s="282" t="str">
        <f>IF(AND(OR($D$27="Yes",$D$27=""),OR($D$33="Yes",$D$33="")),"Greater than 75%","")</f>
        <v/>
      </c>
    </row>
    <row r="105" spans="2:7" ht="15" hidden="1">
      <c r="B105" s="236" t="s">
        <v>14954</v>
      </c>
      <c r="D105" s="282" t="str">
        <f>IF(AND(OR($D$29="Yes",$D$29=""),OR($D$35="Yes",$D$35="")),"Yes","")</f>
        <v/>
      </c>
      <c r="E105" s="282" t="str">
        <f>IF(AND(OR($D$27="Yes",$D$27=""),OR($D$33="Yes",$D$33="")),"Greater than 50%","")</f>
        <v/>
      </c>
    </row>
    <row r="106" spans="2:7" ht="15" hidden="1">
      <c r="B106" s="236" t="s">
        <v>12372</v>
      </c>
      <c r="D106" s="282" t="str">
        <f>IF(AND(OR($D$29="Yes",$D$29=""),OR($D$35="Yes",$D$35="")),"No","")</f>
        <v/>
      </c>
      <c r="E106" s="282" t="str">
        <f>IF(AND(OR($D$27="Yes",$D$27=""),OR($D$33="Yes",$D$33="")),"50% or less","")</f>
        <v/>
      </c>
    </row>
    <row r="107" spans="2:7" ht="15" hidden="1">
      <c r="B107" s="236" t="s">
        <v>485</v>
      </c>
      <c r="D107" s="282" t="str">
        <f>IF(AND(OR($D$29="Yes",$D$29=""),OR($D$35="Yes",$D$35="")),"Unknown","")</f>
        <v/>
      </c>
      <c r="E107" s="282" t="str">
        <f>IF(AND(OR($D$27="Yes",$D$27=""),OR($D$33="Yes",$D$33="")),"None","")</f>
        <v/>
      </c>
    </row>
    <row r="108" spans="2:7" ht="15" hidden="1">
      <c r="B108" s="236" t="s">
        <v>13946</v>
      </c>
      <c r="E108" s="282" t="str">
        <f>IF(AND(OR($D$28="Yes",$D$28=""),OR($D$34="Yes",$D$34="")),"100%","")</f>
        <v/>
      </c>
    </row>
    <row r="109" spans="2:7" ht="15" hidden="1">
      <c r="B109" s="236" t="s">
        <v>13948</v>
      </c>
      <c r="E109" s="282" t="str">
        <f>IF(AND(OR($D$28="Yes",$D$28=""),OR($D$34="Yes",$D$34="")),"Greater than 90%","")</f>
        <v/>
      </c>
    </row>
    <row r="110" spans="2:7" ht="15" hidden="1">
      <c r="B110" s="236" t="s">
        <v>13949</v>
      </c>
      <c r="E110" s="282" t="str">
        <f>IF(AND(OR($D$28="Yes",$D$28=""),OR($D$34="Yes",$D$34="")),"Greater than 75%","")</f>
        <v/>
      </c>
    </row>
    <row r="111" spans="2:7" ht="1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951EC2AC-E462-4FD0-9855-08D74E5F1EC8}"/>
    <hyperlink ref="D20" r:id="rId4" xr:uid="{566D207F-3D4C-46BB-B5DA-FD15459930BD}"/>
    <hyperlink ref="G77" r:id="rId5" xr:uid="{351CDA04-58C3-4860-8948-DA77B6197679}"/>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90625" defaultRowHeight="12.6"/>
  <cols>
    <col min="1" max="1" width="13.6328125" style="227" customWidth="1"/>
    <col min="2" max="2" width="13.36328125" style="229" customWidth="1"/>
    <col min="3" max="3" width="40.6328125" style="229" customWidth="1"/>
    <col min="4" max="4" width="30.6328125" style="229" customWidth="1"/>
    <col min="5" max="5" width="20.90625" style="229" customWidth="1"/>
    <col min="6" max="7" width="13.90625" style="229" customWidth="1"/>
    <col min="8" max="8" width="25.08984375" style="229" customWidth="1"/>
    <col min="9" max="9" width="24.08984375" style="229" customWidth="1"/>
    <col min="10" max="10" width="18.36328125" style="229" customWidth="1"/>
    <col min="11" max="11" width="27.36328125" style="229" customWidth="1"/>
    <col min="12" max="12" width="20.6328125" style="229" customWidth="1"/>
    <col min="13" max="13" width="35.08984375" style="229" customWidth="1"/>
    <col min="14" max="14" width="42.08984375" style="229" customWidth="1"/>
    <col min="15" max="15" width="32.08984375" style="229" customWidth="1"/>
    <col min="16" max="16" width="22.90625" style="229" customWidth="1"/>
    <col min="17" max="17" width="43.6328125" style="229" customWidth="1"/>
    <col min="18" max="18" width="35.90625" style="229" hidden="1" customWidth="1"/>
    <col min="19" max="20" width="17.90625" style="229" hidden="1" customWidth="1"/>
    <col min="21" max="21" width="8.90625" style="229" hidden="1" customWidth="1"/>
    <col min="22" max="22" width="6.08984375" style="229" hidden="1" customWidth="1"/>
    <col min="23" max="23" width="8.6328125" style="229" hidden="1" customWidth="1"/>
    <col min="24" max="24" width="8.90625" style="229" hidden="1" customWidth="1"/>
    <col min="25" max="27" width="4.36328125" style="229" hidden="1" customWidth="1"/>
    <col min="28" max="28" width="7.90625" style="229" hidden="1" customWidth="1"/>
    <col min="29" max="33" width="4.36328125" style="229" hidden="1" customWidth="1"/>
    <col min="34" max="34" width="14.6328125" style="229" hidden="1" customWidth="1"/>
    <col min="35" max="39" width="8.90625" style="229" customWidth="1"/>
    <col min="40" max="16384" width="8.90625" style="229"/>
  </cols>
  <sheetData>
    <row r="1" spans="1:34" s="221" customFormat="1" ht="15.9"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ca="1">IF(B5="","",IF(ISERROR(MATCH($E5,CL,0)),"Unknown",INDIRECT("'C'!$A$"&amp;MATCH($E5,CL,0)+1)))</f>
        <v/>
      </c>
      <c r="T5" s="181" t="str">
        <f ca="1">IF(B5="","",IF(ISERROR(MATCH($J5,SorP!$B$1:$B$6226,0)),"",INDIRECT("'SorP'!$A$"&amp;MATCH($S5&amp;$J5,SorP!C:C,0))))</f>
        <v/>
      </c>
      <c r="U5" s="201"/>
      <c r="V5" s="226" t="e">
        <f>IF(C5="",NA(),IF(OR(C5="Smelter not listed",C5="Smelter not yet identified"),MATCH($B5&amp;$D5,'Smelter Look-up'!$J:$J,0),MATCH($B5&amp;$C5,'Smelter Look-up'!$J:$J,0)))</f>
        <v>#N/A</v>
      </c>
      <c r="X5" s="227">
        <f t="shared" ref="X5" ca="1" si="0">IF(AND(C5="Smelter not listed",OR(LEN(D5)=0,LEN(E5)=0)),1,0)</f>
        <v>0</v>
      </c>
      <c r="AB5" s="228" t="str">
        <f t="shared" ref="AB5" si="1">B5&amp;C5</f>
        <v/>
      </c>
    </row>
    <row r="6" spans="1:34" s="227" customFormat="1" ht="20.100000000000001"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
      </c>
    </row>
    <row r="7" spans="1:34" s="227" customFormat="1" ht="20.100000000000001"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20.100000000000001"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20.100000000000001"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100000000000001"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100000000000001"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399999999999999">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399999999999999">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399999999999999">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399999999999999">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399999999999999">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399999999999999">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399999999999999">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399999999999999">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399999999999999">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399999999999999">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399999999999999">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399999999999999">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399999999999999">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399999999999999">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399999999999999">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399999999999999">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399999999999999">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399999999999999">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399999999999999">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399999999999999">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399999999999999">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399999999999999">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399999999999999">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399999999999999">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399999999999999">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399999999999999">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399999999999999">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399999999999999">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399999999999999">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399999999999999">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399999999999999">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399999999999999">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F2736FCE-A550-468C-AD01-BD495C7CE6E2}"/>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24" activePane="bottomRight" state="frozen"/>
      <selection activeCell="A4" sqref="A4"/>
      <selection pane="topRight" activeCell="A4" sqref="A4"/>
      <selection pane="bottomLeft" activeCell="A4" sqref="A4"/>
      <selection pane="bottomRight" activeCell="A4" sqref="A4"/>
    </sheetView>
  </sheetViews>
  <sheetFormatPr defaultColWidth="8.90625" defaultRowHeight="12.6"/>
  <cols>
    <col min="1" max="1" width="45.08984375" style="19" customWidth="1"/>
    <col min="2" max="2" width="42.90625" style="20" customWidth="1"/>
    <col min="3" max="3" width="51.6328125" style="19" customWidth="1"/>
    <col min="4" max="4" width="29.08984375" style="20" customWidth="1"/>
    <col min="5" max="5" width="9" style="19" customWidth="1"/>
    <col min="6" max="6" width="13.6328125" style="19" hidden="1" customWidth="1"/>
    <col min="7" max="7" width="13.36328125" style="19" hidden="1" customWidth="1"/>
    <col min="8" max="9" width="9" style="19" hidden="1" customWidth="1"/>
    <col min="10" max="10" width="48.90625" style="19" hidden="1" customWidth="1"/>
    <col min="11" max="11" width="9" style="19" hidden="1" customWidth="1"/>
    <col min="12" max="15" width="8.90625" style="19" hidden="1" customWidth="1"/>
    <col min="16" max="18" width="8.90625" style="19" customWidth="1"/>
    <col min="19" max="16384" width="8.9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6.2">
      <c r="A2" s="66" t="s">
        <v>888</v>
      </c>
      <c r="B2" s="67" t="str">
        <f>IF(F65=1,"Click here to return to Smelter List","")</f>
        <v/>
      </c>
      <c r="C2" s="121" t="str">
        <f>IF(F65=1,"Click here to return to Product List","")</f>
        <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Elite RF LLC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Deep Patel</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deep@eliterf.com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8475926350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Deep Patel</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deep@eliterf.com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45603</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797</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797</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 xml:space="preserve">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0" t="str">
        <f>IF(H35=1,"Click here to answer question 5 for Tin","")</f>
        <v/>
      </c>
      <c r="E35" s="20" t="s">
        <v>1295</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 xml:space="preserve">6) What percentage of relevant suppliers have provided a response to your supply chain survey? </v>
      </c>
      <c r="B38" s="92"/>
      <c r="C38" s="92"/>
      <c r="D38" s="96"/>
      <c r="E38" s="20" t="s">
        <v>797</v>
      </c>
      <c r="F38" s="93"/>
    </row>
    <row r="39" spans="1:10" ht="26.4">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 xml:space="preserve">Tin  </v>
      </c>
      <c r="B40" s="268">
        <f>IF(AND($B$15="Yes",$B$20="Yes"),Declaration!D57,0)</f>
        <v>0</v>
      </c>
      <c r="C40" s="89" t="str">
        <f ca="1">IF(H40=1,J40,I40)</f>
        <v>Complete</v>
      </c>
      <c r="D40" s="261" t="str">
        <f>IF(H40=1,"Click here to answer question 6 for Tin","")</f>
        <v/>
      </c>
      <c r="E40" s="20" t="s">
        <v>796</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 xml:space="preserve">7) Have you identified all of the smelters supplying the 3TG to your supply chain? </v>
      </c>
      <c r="B43" s="92"/>
      <c r="C43" s="92"/>
      <c r="D43" s="96"/>
      <c r="E43" s="20" t="s">
        <v>798</v>
      </c>
      <c r="F43" s="93"/>
    </row>
    <row r="44" spans="1:10" ht="51.6">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 xml:space="preserve">Tin  </v>
      </c>
      <c r="B45" s="89">
        <f>IF(AND($B$15="Yes",$B$20="Yes"),Declaration!D63,0)</f>
        <v>0</v>
      </c>
      <c r="C45" s="89" t="str">
        <f ca="1">IF(H45=1,J45,I45)</f>
        <v>Complete</v>
      </c>
      <c r="D45" s="260" t="str">
        <f>IF(H45=1,"Click here to answer question 7 for Tin","")</f>
        <v/>
      </c>
      <c r="E45" s="20" t="s">
        <v>1291</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 xml:space="preserve">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1" t="str">
        <f>IF(H50=1,"Click here to answer question 8 for Tin","")</f>
        <v/>
      </c>
      <c r="E50" s="20" t="s">
        <v>797</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v>
      </c>
      <c r="B54" s="89" t="str">
        <f>Declaration!D75</f>
        <v>Yes</v>
      </c>
      <c r="C54" s="89" t="str">
        <f t="shared" ref="C54:C60" ca="1" si="10">IF(H54=1,J54,I54)</f>
        <v>Complete</v>
      </c>
      <c r="D54" s="95" t="str">
        <f>IF(H54=1,"Click here to answer question (A)","")</f>
        <v/>
      </c>
      <c r="E54" s="20" t="s">
        <v>1295</v>
      </c>
      <c r="F54" s="94">
        <f>IF(SUM(F$24:F$27)=0,0,1)</f>
        <v>0</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Yes</v>
      </c>
      <c r="C55" s="89" t="str">
        <f t="shared" ca="1" si="10"/>
        <v>Complete</v>
      </c>
      <c r="D55" s="95" t="str">
        <f>IF(H55=1,"Click here to answer question (B)","")</f>
        <v/>
      </c>
      <c r="E55" s="20" t="s">
        <v>1295</v>
      </c>
      <c r="F55" s="94">
        <f t="shared" ref="F55" si="12">F$54</f>
        <v>0</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 customHeight="1">
      <c r="A56" s="89" t="s">
        <v>3</v>
      </c>
      <c r="B56" s="89" t="str">
        <f>Declaration!G77</f>
        <v>https://eliterfllc.com/wp-content/uploads/2024/05/Elite_RF_Conflict_Mineral_Policy.pdf</v>
      </c>
      <c r="C56" s="89" t="str">
        <f t="shared" ca="1" si="10"/>
        <v>Complete</v>
      </c>
      <c r="D56" s="95" t="str">
        <f>IF(H56=1,"Click here to specify URL for question (B)","")</f>
        <v/>
      </c>
      <c r="E56" s="20"/>
      <c r="F56" s="94">
        <f>IF(AND(F55=1,B55="Yes"),1,0)</f>
        <v>0</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v>
      </c>
      <c r="B57" s="89">
        <f>Declaration!D79</f>
        <v>0</v>
      </c>
      <c r="C57" s="89" t="str">
        <f t="shared" ca="1" si="10"/>
        <v>Complete</v>
      </c>
      <c r="D57" s="95" t="str">
        <f>IF(H57=1,"Click here to answer question (C)","")</f>
        <v/>
      </c>
      <c r="E57" s="20" t="s">
        <v>1295</v>
      </c>
      <c r="F57" s="94">
        <f>F$54</f>
        <v>0</v>
      </c>
      <c r="G57" s="70">
        <f>IF(B57=0,1,0)</f>
        <v>1</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v>
      </c>
      <c r="B58" s="89">
        <f>Declaration!D81</f>
        <v>0</v>
      </c>
      <c r="C58" s="89" t="str">
        <f t="shared" ca="1" si="10"/>
        <v>Complete</v>
      </c>
      <c r="D58" s="95" t="str">
        <f>IF(H58=1,"Click here to answer question (D)","")</f>
        <v/>
      </c>
      <c r="E58" s="20" t="s">
        <v>1295</v>
      </c>
      <c r="F58" s="94">
        <f>F$54</f>
        <v>0</v>
      </c>
      <c r="G58" s="70">
        <f>IF(B58=0,1,0)</f>
        <v>1</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v>
      </c>
      <c r="B59" s="89">
        <f>Declaration!D83</f>
        <v>0</v>
      </c>
      <c r="C59" s="89" t="str">
        <f t="shared" ca="1" si="10"/>
        <v>Complete</v>
      </c>
      <c r="D59" s="95" t="str">
        <f>IF(H59=1,"Click here to answer question (E)","")</f>
        <v/>
      </c>
      <c r="E59" s="20" t="s">
        <v>1295</v>
      </c>
      <c r="F59" s="94">
        <f>F$54</f>
        <v>0</v>
      </c>
      <c r="G59" s="70">
        <f>IF(B59=0,1,0)</f>
        <v>1</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v>
      </c>
      <c r="B60" s="89">
        <f>Declaration!D85</f>
        <v>0</v>
      </c>
      <c r="C60" s="89" t="str">
        <f t="shared" ca="1" si="10"/>
        <v>Complete</v>
      </c>
      <c r="D60" s="95" t="str">
        <f>IF(H60=1,"Click here to answer question (F)","")</f>
        <v/>
      </c>
      <c r="E60" s="20" t="s">
        <v>1295</v>
      </c>
      <c r="F60" s="94">
        <f>F$54</f>
        <v>0</v>
      </c>
      <c r="G60" s="70">
        <f>IF(B60=0,1,0)</f>
        <v>1</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v>
      </c>
      <c r="B62" s="89">
        <f>Declaration!D87</f>
        <v>0</v>
      </c>
      <c r="C62" s="89" t="str">
        <f t="shared" ref="C62:C68" ca="1" si="13">IF(H62=1,J62,I62)</f>
        <v>Complete</v>
      </c>
      <c r="D62" s="95" t="str">
        <f>IF(H62=1,"Click here to answer question (G)","")</f>
        <v/>
      </c>
      <c r="E62" s="20" t="s">
        <v>1295</v>
      </c>
      <c r="F62" s="94">
        <f>F$54</f>
        <v>0</v>
      </c>
      <c r="G62" s="70">
        <f>IF(B62=0,1,0)</f>
        <v>1</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v>
      </c>
      <c r="B63" s="89">
        <f>Declaration!D89</f>
        <v>0</v>
      </c>
      <c r="C63" s="89" t="str">
        <f t="shared" ca="1" si="13"/>
        <v>Complete</v>
      </c>
      <c r="D63" s="95" t="str">
        <f>IF(H63=1,"Click here to answer question (H)","")</f>
        <v/>
      </c>
      <c r="E63" s="20" t="s">
        <v>1295</v>
      </c>
      <c r="F63" s="94">
        <f>F$54</f>
        <v>0</v>
      </c>
      <c r="G63" s="70">
        <f>IF(B63=0,1,0)</f>
        <v>1</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0</v>
      </c>
      <c r="G66" s="70">
        <f>IF(AND(COUNTIF(SmelterIdetifiedForMetal,"Tin")&gt;0,COUNTIF('Smelter List'!AB$5:AB$2504,"Tin?*")&gt;0),0,1)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2"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90625" defaultRowHeight="12.6"/>
  <cols>
    <col min="1" max="1" width="3.08984375" style="277" customWidth="1"/>
    <col min="2" max="2" width="39.90625" style="280" customWidth="1"/>
    <col min="3" max="3" width="39.90625" style="277" customWidth="1"/>
    <col min="4" max="4" width="58.90625" style="277" customWidth="1"/>
    <col min="5" max="5" width="1.6328125" style="277" customWidth="1"/>
    <col min="6" max="6" width="9" style="277" customWidth="1"/>
    <col min="7" max="16384" width="8.9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2"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90625" defaultRowHeight="12.6"/>
  <cols>
    <col min="1" max="1" width="9.08984375" style="189" bestFit="1" customWidth="1"/>
    <col min="2" max="2" width="42.90625" style="189" customWidth="1"/>
    <col min="3" max="3" width="63.90625" style="189" customWidth="1"/>
    <col min="4" max="4" width="25.6328125" style="189" customWidth="1"/>
    <col min="5" max="5" width="12.6328125" style="189" customWidth="1"/>
    <col min="6" max="6" width="12.6328125" style="190" customWidth="1"/>
    <col min="7" max="7" width="15.36328125" style="189" customWidth="1"/>
    <col min="8" max="8" width="23.90625" style="189" customWidth="1"/>
    <col min="9" max="9" width="28.08984375" style="189" customWidth="1"/>
    <col min="10" max="10" width="48.26953125" style="189" hidden="1" customWidth="1"/>
    <col min="11" max="11" width="49.7265625" style="189" hidden="1" customWidth="1"/>
    <col min="12" max="16384" width="8.9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90625" defaultRowHeight="13.8"/>
  <cols>
    <col min="1" max="1" width="14.6328125" style="155" customWidth="1"/>
    <col min="2" max="2" width="14" style="155" customWidth="1"/>
    <col min="3" max="3" width="6.08984375" style="155" customWidth="1"/>
    <col min="4" max="4" width="56.26953125" style="155" customWidth="1"/>
    <col min="5" max="5" width="53.7265625" style="233" customWidth="1"/>
    <col min="6" max="6" width="54.08984375" style="155" customWidth="1"/>
    <col min="7" max="7" width="68.26953125" style="155" customWidth="1"/>
    <col min="8" max="8" width="49.26953125" style="155" customWidth="1"/>
    <col min="9" max="9" width="51.6328125" style="155" customWidth="1"/>
    <col min="10" max="10" width="50.26953125" style="155" customWidth="1"/>
    <col min="11" max="11" width="51.90625" customWidth="1"/>
    <col min="12" max="12" width="66.90625" style="256" customWidth="1"/>
    <col min="13" max="13" width="46.08984375" style="109" customWidth="1"/>
    <col min="14" max="15" width="8.90625" style="109" customWidth="1"/>
    <col min="16" max="16384" width="8.9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8.6">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60">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5.2">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58.8">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8">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2.8">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3.2">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5.2">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03.6000000000000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89.8">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9">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1.8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8">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0.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9">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1.8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9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6">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8.4">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7">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5.2">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0.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9">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7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1.4">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1.4">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1.4">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1.4">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5.2">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5.2">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5.2">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5.2">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9">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9">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9">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9">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5.2">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6">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90625" defaultRowHeight="12.6"/>
  <cols>
    <col min="1" max="1" width="20.6328125" style="65" customWidth="1"/>
    <col min="2" max="2" width="57.08984375" style="65" customWidth="1"/>
    <col min="3" max="16384" width="8.9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A0C05AC0-11E8-4527-BF83-7E3A6D2F1E6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90625" defaultRowHeight="12.6"/>
  <cols>
    <col min="1" max="1" width="11.089843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90A5912D-68C1-43E6-BCE2-E16262E44372}"/>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21" ma:contentTypeDescription="Create a new document." ma:contentTypeScope="" ma:versionID="fcfac994efe18fc042a7c02cc5ebf0d3">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3ad213eee2addcb7972c860484dfa9f0"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13DCDF01-BA07-4FC7-A76A-9D6934DA0F19}"/>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Deep Patel</cp:lastModifiedBy>
  <cp:lastPrinted>2015-04-21T20:47:43Z</cp:lastPrinted>
  <dcterms:created xsi:type="dcterms:W3CDTF">2010-06-21T21:00:23Z</dcterms:created>
  <dcterms:modified xsi:type="dcterms:W3CDTF">2024-11-07T16:30:46Z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