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fileSharing readOnlyRecommended="1" userName="Dan Guiffre" algorithmName="SHA-512" hashValue="CgmWEocUs74Cleo5FSVfiTYXR5Lo1E0FrYjHKu51CUBnnmDOGGyV5cULuJlUv+5B50/h8qdeM/T6lrApvSU+9g==" saltValue="hnD8VD3xnR7V2acckVgqbg==" spinCount="100000"/>
  <workbookPr codeName="ThisWorkbook" autoCompressPictures="0"/>
  <mc:AlternateContent xmlns:mc="http://schemas.openxmlformats.org/markup-compatibility/2006">
    <mc:Choice Requires="x15">
      <x15ac:absPath xmlns:x15ac="http://schemas.microsoft.com/office/spreadsheetml/2010/11/ac" url="X:\Quality\Compliance\Conflict Minerals\"/>
    </mc:Choice>
  </mc:AlternateContent>
  <xr:revisionPtr revIDLastSave="0" documentId="14_{3D2919ED-28DE-4C81-A6AA-8DAA7B434E4D}"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5" i="5" l="1"/>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T108" i="5"/>
  <c r="T109" i="5"/>
  <c r="T110" i="5"/>
  <c r="T111" i="5"/>
  <c r="T112" i="5"/>
  <c r="T113" i="5"/>
  <c r="T114" i="5"/>
  <c r="T115" i="5"/>
  <c r="T116" i="5"/>
  <c r="T117" i="5"/>
  <c r="T118" i="5"/>
  <c r="T119" i="5"/>
  <c r="T12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F69" i="6" s="1"/>
  <c r="C69" i="6" s="1"/>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90" i="5"/>
  <c r="V91" i="5"/>
  <c r="V92" i="5"/>
  <c r="V93" i="5"/>
  <c r="X93" i="5"/>
  <c r="V94" i="5"/>
  <c r="R94" i="5" s="1"/>
  <c r="V95" i="5"/>
  <c r="V96" i="5"/>
  <c r="R96" i="5" s="1"/>
  <c r="V97" i="5"/>
  <c r="X97" i="5"/>
  <c r="V98" i="5"/>
  <c r="V99" i="5"/>
  <c r="V100" i="5"/>
  <c r="V101" i="5"/>
  <c r="R101" i="5" s="1"/>
  <c r="V102" i="5"/>
  <c r="V103" i="5"/>
  <c r="V104" i="5"/>
  <c r="V105" i="5"/>
  <c r="V106" i="5"/>
  <c r="V107" i="5"/>
  <c r="V108" i="5"/>
  <c r="V109" i="5"/>
  <c r="R109" i="5" s="1"/>
  <c r="X109" i="5"/>
  <c r="V110" i="5"/>
  <c r="R110" i="5" s="1"/>
  <c r="X110" i="5"/>
  <c r="V111" i="5"/>
  <c r="R111" i="5" s="1"/>
  <c r="V112" i="5"/>
  <c r="V113" i="5"/>
  <c r="X113" i="5"/>
  <c r="V114" i="5"/>
  <c r="V115" i="5"/>
  <c r="V116" i="5"/>
  <c r="V117" i="5"/>
  <c r="X117" i="5"/>
  <c r="V118" i="5"/>
  <c r="V119" i="5"/>
  <c r="V120" i="5"/>
  <c r="V121" i="5"/>
  <c r="R121" i="5" s="1"/>
  <c r="X121" i="5"/>
  <c r="V122" i="5"/>
  <c r="V123" i="5"/>
  <c r="V124" i="5"/>
  <c r="V125" i="5"/>
  <c r="X125" i="5"/>
  <c r="V126" i="5"/>
  <c r="V127" i="5"/>
  <c r="V128" i="5"/>
  <c r="V129" i="5"/>
  <c r="R129" i="5" s="1"/>
  <c r="X129" i="5"/>
  <c r="V130" i="5"/>
  <c r="V131" i="5"/>
  <c r="V132" i="5"/>
  <c r="V133" i="5"/>
  <c r="X133" i="5"/>
  <c r="V134" i="5"/>
  <c r="V135" i="5"/>
  <c r="R135" i="5" s="1"/>
  <c r="V136" i="5"/>
  <c r="V137" i="5"/>
  <c r="X137" i="5"/>
  <c r="V138" i="5"/>
  <c r="V139" i="5"/>
  <c r="V140" i="5"/>
  <c r="V141" i="5"/>
  <c r="X141" i="5"/>
  <c r="V142" i="5"/>
  <c r="V143" i="5"/>
  <c r="R143" i="5" s="1"/>
  <c r="V144" i="5"/>
  <c r="V145" i="5"/>
  <c r="X145" i="5"/>
  <c r="V146" i="5"/>
  <c r="R146" i="5" s="1"/>
  <c r="V147" i="5"/>
  <c r="V148" i="5"/>
  <c r="V149" i="5"/>
  <c r="X149" i="5"/>
  <c r="V150" i="5"/>
  <c r="V151" i="5"/>
  <c r="V152" i="5"/>
  <c r="V153" i="5"/>
  <c r="X153" i="5"/>
  <c r="V154" i="5"/>
  <c r="V155" i="5"/>
  <c r="R155" i="5" s="1"/>
  <c r="V156" i="5"/>
  <c r="R156" i="5" s="1"/>
  <c r="V157" i="5"/>
  <c r="R157" i="5" s="1"/>
  <c r="X157" i="5"/>
  <c r="V158" i="5"/>
  <c r="V159" i="5"/>
  <c r="V160" i="5"/>
  <c r="V161" i="5"/>
  <c r="X161" i="5"/>
  <c r="V162" i="5"/>
  <c r="R162" i="5" s="1"/>
  <c r="V163" i="5"/>
  <c r="V164" i="5"/>
  <c r="V165" i="5"/>
  <c r="X165" i="5"/>
  <c r="V166" i="5"/>
  <c r="X166" i="5"/>
  <c r="V167" i="5"/>
  <c r="R167" i="5" s="1"/>
  <c r="V168" i="5"/>
  <c r="V169" i="5"/>
  <c r="R169" i="5" s="1"/>
  <c r="X169" i="5"/>
  <c r="V170" i="5"/>
  <c r="X170" i="5"/>
  <c r="V171" i="5"/>
  <c r="V172" i="5"/>
  <c r="V173" i="5"/>
  <c r="X173" i="5"/>
  <c r="V174" i="5"/>
  <c r="R174" i="5" s="1"/>
  <c r="V175" i="5"/>
  <c r="V176" i="5"/>
  <c r="R176" i="5" s="1"/>
  <c r="V177" i="5"/>
  <c r="X177" i="5"/>
  <c r="V178" i="5"/>
  <c r="X178" i="5"/>
  <c r="V179" i="5"/>
  <c r="V180" i="5"/>
  <c r="V181" i="5"/>
  <c r="X181" i="5"/>
  <c r="V182" i="5"/>
  <c r="X182" i="5"/>
  <c r="V183" i="5"/>
  <c r="V184" i="5"/>
  <c r="V185" i="5"/>
  <c r="X185" i="5"/>
  <c r="V186" i="5"/>
  <c r="V187" i="5"/>
  <c r="V188" i="5"/>
  <c r="V189" i="5"/>
  <c r="X189" i="5"/>
  <c r="V190" i="5"/>
  <c r="X190" i="5"/>
  <c r="V191" i="5"/>
  <c r="E191" i="5"/>
  <c r="X191" i="5" s="1"/>
  <c r="V192" i="5"/>
  <c r="E192" i="5"/>
  <c r="X192" i="5" s="1"/>
  <c r="V193" i="5"/>
  <c r="E193" i="5"/>
  <c r="X193" i="5" s="1"/>
  <c r="V194" i="5"/>
  <c r="E194" i="5"/>
  <c r="V195" i="5"/>
  <c r="E195" i="5"/>
  <c r="V196" i="5"/>
  <c r="E196" i="5"/>
  <c r="X196" i="5" s="1"/>
  <c r="V197" i="5"/>
  <c r="E197" i="5"/>
  <c r="X197" i="5" s="1"/>
  <c r="V198" i="5"/>
  <c r="E198" i="5"/>
  <c r="X198" i="5" s="1"/>
  <c r="V199" i="5"/>
  <c r="E199" i="5"/>
  <c r="X199" i="5" s="1"/>
  <c r="V200" i="5"/>
  <c r="E200" i="5"/>
  <c r="X200" i="5" s="1"/>
  <c r="V201" i="5"/>
  <c r="E201" i="5"/>
  <c r="X201" i="5" s="1"/>
  <c r="V202" i="5"/>
  <c r="E202" i="5"/>
  <c r="V203" i="5"/>
  <c r="E203" i="5"/>
  <c r="X203" i="5" s="1"/>
  <c r="V204" i="5"/>
  <c r="E204" i="5"/>
  <c r="X204" i="5" s="1"/>
  <c r="V205" i="5"/>
  <c r="E205" i="5"/>
  <c r="X205" i="5" s="1"/>
  <c r="V206" i="5"/>
  <c r="E206" i="5"/>
  <c r="X206" i="5" s="1"/>
  <c r="V207" i="5"/>
  <c r="E207" i="5"/>
  <c r="X207" i="5" s="1"/>
  <c r="V208" i="5"/>
  <c r="E208" i="5"/>
  <c r="X208" i="5" s="1"/>
  <c r="V209" i="5"/>
  <c r="E209" i="5"/>
  <c r="X209" i="5" s="1"/>
  <c r="V210" i="5"/>
  <c r="E210" i="5"/>
  <c r="X210" i="5" s="1"/>
  <c r="V211" i="5"/>
  <c r="E211" i="5"/>
  <c r="X211" i="5" s="1"/>
  <c r="V212" i="5"/>
  <c r="E212" i="5"/>
  <c r="X212" i="5" s="1"/>
  <c r="V213" i="5"/>
  <c r="E213" i="5"/>
  <c r="X213" i="5" s="1"/>
  <c r="V214" i="5"/>
  <c r="E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V229" i="5"/>
  <c r="E229" i="5"/>
  <c r="X229" i="5" s="1"/>
  <c r="V230" i="5"/>
  <c r="E230" i="5"/>
  <c r="V231" i="5"/>
  <c r="E231" i="5"/>
  <c r="X231" i="5" s="1"/>
  <c r="V232" i="5"/>
  <c r="E232" i="5"/>
  <c r="X232" i="5" s="1"/>
  <c r="V233" i="5"/>
  <c r="E233" i="5"/>
  <c r="X233" i="5" s="1"/>
  <c r="V234" i="5"/>
  <c r="E234" i="5"/>
  <c r="V235" i="5"/>
  <c r="E235" i="5"/>
  <c r="X235" i="5" s="1"/>
  <c r="V236" i="5"/>
  <c r="E236" i="5"/>
  <c r="X236" i="5" s="1"/>
  <c r="V237" i="5"/>
  <c r="E237" i="5"/>
  <c r="X237" i="5" s="1"/>
  <c r="V238" i="5"/>
  <c r="E238" i="5"/>
  <c r="X238" i="5" s="1"/>
  <c r="V239" i="5"/>
  <c r="E239" i="5"/>
  <c r="V240" i="5"/>
  <c r="E240" i="5"/>
  <c r="X240" i="5" s="1"/>
  <c r="V241" i="5"/>
  <c r="E241" i="5"/>
  <c r="X241" i="5" s="1"/>
  <c r="V242" i="5"/>
  <c r="E242" i="5"/>
  <c r="V243" i="5"/>
  <c r="E243" i="5"/>
  <c r="X243" i="5" s="1"/>
  <c r="V244" i="5"/>
  <c r="E244" i="5"/>
  <c r="X244" i="5" s="1"/>
  <c r="V245" i="5"/>
  <c r="E245" i="5"/>
  <c r="X245" i="5" s="1"/>
  <c r="V246" i="5"/>
  <c r="E246" i="5"/>
  <c r="X246" i="5" s="1"/>
  <c r="V247" i="5"/>
  <c r="E247" i="5"/>
  <c r="X247" i="5" s="1"/>
  <c r="V248" i="5"/>
  <c r="E248" i="5"/>
  <c r="X248" i="5" s="1"/>
  <c r="V249" i="5"/>
  <c r="E249" i="5"/>
  <c r="X249" i="5" s="1"/>
  <c r="V250" i="5"/>
  <c r="E250" i="5"/>
  <c r="V251" i="5"/>
  <c r="E251" i="5"/>
  <c r="X251" i="5" s="1"/>
  <c r="V252" i="5"/>
  <c r="E252" i="5"/>
  <c r="X252" i="5" s="1"/>
  <c r="V253" i="5"/>
  <c r="E253" i="5"/>
  <c r="X253" i="5" s="1"/>
  <c r="V254" i="5"/>
  <c r="E254" i="5"/>
  <c r="V255" i="5"/>
  <c r="E255" i="5"/>
  <c r="X255" i="5" s="1"/>
  <c r="V256" i="5"/>
  <c r="E256" i="5"/>
  <c r="V257" i="5"/>
  <c r="E257" i="5"/>
  <c r="X257" i="5" s="1"/>
  <c r="V258" i="5"/>
  <c r="E258" i="5"/>
  <c r="X258" i="5" s="1"/>
  <c r="V259" i="5"/>
  <c r="E259" i="5"/>
  <c r="X259" i="5" s="1"/>
  <c r="V260" i="5"/>
  <c r="E260" i="5"/>
  <c r="X260" i="5" s="1"/>
  <c r="V261" i="5"/>
  <c r="E261" i="5"/>
  <c r="X261" i="5" s="1"/>
  <c r="V262" i="5"/>
  <c r="E262" i="5"/>
  <c r="V263" i="5"/>
  <c r="E263" i="5"/>
  <c r="X263" i="5" s="1"/>
  <c r="V264" i="5"/>
  <c r="E264" i="5"/>
  <c r="X264" i="5" s="1"/>
  <c r="V265" i="5"/>
  <c r="E265" i="5"/>
  <c r="X265" i="5" s="1"/>
  <c r="V266" i="5"/>
  <c r="E266" i="5"/>
  <c r="X266" i="5" s="1"/>
  <c r="V267" i="5"/>
  <c r="E267" i="5"/>
  <c r="X267" i="5" s="1"/>
  <c r="V268" i="5"/>
  <c r="E268" i="5"/>
  <c r="V269" i="5"/>
  <c r="E269" i="5"/>
  <c r="X269" i="5" s="1"/>
  <c r="V270" i="5"/>
  <c r="E270" i="5"/>
  <c r="X270" i="5" s="1"/>
  <c r="V271" i="5"/>
  <c r="E271" i="5"/>
  <c r="X271" i="5" s="1"/>
  <c r="V272" i="5"/>
  <c r="E272" i="5"/>
  <c r="X272" i="5" s="1"/>
  <c r="V273" i="5"/>
  <c r="E273" i="5"/>
  <c r="X273" i="5" s="1"/>
  <c r="V274" i="5"/>
  <c r="E274" i="5"/>
  <c r="X274" i="5" s="1"/>
  <c r="V275" i="5"/>
  <c r="E275" i="5"/>
  <c r="X275" i="5" s="1"/>
  <c r="V276" i="5"/>
  <c r="E276" i="5"/>
  <c r="X276" i="5" s="1"/>
  <c r="V277" i="5"/>
  <c r="E277" i="5"/>
  <c r="X277" i="5" s="1"/>
  <c r="V278" i="5"/>
  <c r="E278" i="5"/>
  <c r="X278" i="5" s="1"/>
  <c r="V279" i="5"/>
  <c r="E279" i="5"/>
  <c r="X279" i="5" s="1"/>
  <c r="V280" i="5"/>
  <c r="E280" i="5"/>
  <c r="X280" i="5" s="1"/>
  <c r="V281" i="5"/>
  <c r="E281" i="5"/>
  <c r="X281" i="5" s="1"/>
  <c r="V282" i="5"/>
  <c r="E282" i="5"/>
  <c r="X282" i="5" s="1"/>
  <c r="V283" i="5"/>
  <c r="E283" i="5"/>
  <c r="X283" i="5" s="1"/>
  <c r="V284" i="5"/>
  <c r="E284" i="5"/>
  <c r="X284" i="5" s="1"/>
  <c r="V285" i="5"/>
  <c r="E285" i="5"/>
  <c r="X285" i="5" s="1"/>
  <c r="V286" i="5"/>
  <c r="E286" i="5"/>
  <c r="X286" i="5" s="1"/>
  <c r="V287" i="5"/>
  <c r="E287" i="5"/>
  <c r="X287" i="5" s="1"/>
  <c r="V288" i="5"/>
  <c r="E288" i="5"/>
  <c r="V289" i="5"/>
  <c r="E289" i="5"/>
  <c r="X289" i="5" s="1"/>
  <c r="V290" i="5"/>
  <c r="E290" i="5"/>
  <c r="X290" i="5" s="1"/>
  <c r="V291" i="5"/>
  <c r="E291" i="5"/>
  <c r="X291" i="5" s="1"/>
  <c r="V292" i="5"/>
  <c r="E292" i="5"/>
  <c r="X292" i="5" s="1"/>
  <c r="V293" i="5"/>
  <c r="E293" i="5"/>
  <c r="X293" i="5" s="1"/>
  <c r="V294" i="5"/>
  <c r="E294" i="5"/>
  <c r="X294" i="5" s="1"/>
  <c r="V295" i="5"/>
  <c r="E295" i="5"/>
  <c r="X295" i="5" s="1"/>
  <c r="V296" i="5"/>
  <c r="E296" i="5"/>
  <c r="X296" i="5" s="1"/>
  <c r="V297" i="5"/>
  <c r="E297" i="5"/>
  <c r="X297" i="5" s="1"/>
  <c r="V298" i="5"/>
  <c r="E298" i="5"/>
  <c r="X298" i="5" s="1"/>
  <c r="V299" i="5"/>
  <c r="E299" i="5"/>
  <c r="X299" i="5" s="1"/>
  <c r="V300" i="5"/>
  <c r="E300" i="5"/>
  <c r="V301" i="5"/>
  <c r="E301" i="5"/>
  <c r="X301" i="5" s="1"/>
  <c r="V302" i="5"/>
  <c r="E302" i="5"/>
  <c r="X302" i="5" s="1"/>
  <c r="V303" i="5"/>
  <c r="E303" i="5"/>
  <c r="X303" i="5" s="1"/>
  <c r="V304" i="5"/>
  <c r="E304" i="5"/>
  <c r="X304" i="5" s="1"/>
  <c r="V305" i="5"/>
  <c r="E305" i="5"/>
  <c r="X305" i="5" s="1"/>
  <c r="V306" i="5"/>
  <c r="E306" i="5"/>
  <c r="V307" i="5"/>
  <c r="E307" i="5"/>
  <c r="X307" i="5" s="1"/>
  <c r="V308" i="5"/>
  <c r="E308" i="5"/>
  <c r="X308" i="5" s="1"/>
  <c r="V309" i="5"/>
  <c r="E309" i="5"/>
  <c r="X309" i="5" s="1"/>
  <c r="V310" i="5"/>
  <c r="E310" i="5"/>
  <c r="V311" i="5"/>
  <c r="E311" i="5"/>
  <c r="X311" i="5" s="1"/>
  <c r="V312" i="5"/>
  <c r="E312" i="5"/>
  <c r="X312" i="5" s="1"/>
  <c r="V313" i="5"/>
  <c r="E313" i="5"/>
  <c r="X313" i="5" s="1"/>
  <c r="V314" i="5"/>
  <c r="E314" i="5"/>
  <c r="V315" i="5"/>
  <c r="E315" i="5"/>
  <c r="X315" i="5" s="1"/>
  <c r="V316" i="5"/>
  <c r="E316" i="5"/>
  <c r="X316" i="5" s="1"/>
  <c r="V317" i="5"/>
  <c r="E317" i="5"/>
  <c r="X317" i="5" s="1"/>
  <c r="V318" i="5"/>
  <c r="E318" i="5"/>
  <c r="X318" i="5" s="1"/>
  <c r="V319" i="5"/>
  <c r="E319" i="5"/>
  <c r="X319" i="5" s="1"/>
  <c r="V320" i="5"/>
  <c r="E320" i="5"/>
  <c r="X320" i="5" s="1"/>
  <c r="V321" i="5"/>
  <c r="E321" i="5"/>
  <c r="X321" i="5" s="1"/>
  <c r="V322" i="5"/>
  <c r="E322" i="5"/>
  <c r="V323" i="5"/>
  <c r="E323" i="5"/>
  <c r="X323" i="5" s="1"/>
  <c r="V324" i="5"/>
  <c r="E324" i="5"/>
  <c r="X324" i="5" s="1"/>
  <c r="V325" i="5"/>
  <c r="E325" i="5"/>
  <c r="X325" i="5" s="1"/>
  <c r="V326" i="5"/>
  <c r="E326" i="5"/>
  <c r="V327" i="5"/>
  <c r="E327" i="5"/>
  <c r="X327" i="5" s="1"/>
  <c r="V328" i="5"/>
  <c r="E328" i="5"/>
  <c r="X328" i="5" s="1"/>
  <c r="V329" i="5"/>
  <c r="E329" i="5"/>
  <c r="X329" i="5" s="1"/>
  <c r="V330" i="5"/>
  <c r="E330" i="5"/>
  <c r="V331" i="5"/>
  <c r="E331" i="5"/>
  <c r="X331" i="5" s="1"/>
  <c r="V332" i="5"/>
  <c r="E332" i="5"/>
  <c r="X332" i="5" s="1"/>
  <c r="V333" i="5"/>
  <c r="E333" i="5"/>
  <c r="X333" i="5" s="1"/>
  <c r="V334" i="5"/>
  <c r="E334" i="5"/>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V347" i="5"/>
  <c r="E347" i="5"/>
  <c r="X347" i="5" s="1"/>
  <c r="V348" i="5"/>
  <c r="E348" i="5"/>
  <c r="X348" i="5" s="1"/>
  <c r="V349" i="5"/>
  <c r="E349" i="5"/>
  <c r="X349" i="5" s="1"/>
  <c r="V350" i="5"/>
  <c r="E350" i="5"/>
  <c r="V351" i="5"/>
  <c r="E351" i="5"/>
  <c r="X351" i="5" s="1"/>
  <c r="V352" i="5"/>
  <c r="E352" i="5"/>
  <c r="X352" i="5" s="1"/>
  <c r="V353" i="5"/>
  <c r="E353" i="5"/>
  <c r="X353" i="5" s="1"/>
  <c r="V354" i="5"/>
  <c r="E354" i="5"/>
  <c r="V355" i="5"/>
  <c r="E355" i="5"/>
  <c r="X355" i="5" s="1"/>
  <c r="V356" i="5"/>
  <c r="E356" i="5"/>
  <c r="X356" i="5" s="1"/>
  <c r="V357" i="5"/>
  <c r="E357" i="5"/>
  <c r="V358" i="5"/>
  <c r="E358" i="5"/>
  <c r="V359" i="5"/>
  <c r="E359" i="5"/>
  <c r="X359" i="5" s="1"/>
  <c r="V360" i="5"/>
  <c r="E360" i="5"/>
  <c r="X360" i="5" s="1"/>
  <c r="V361" i="5"/>
  <c r="E361" i="5"/>
  <c r="X361" i="5" s="1"/>
  <c r="V362" i="5"/>
  <c r="E362" i="5"/>
  <c r="V363" i="5"/>
  <c r="E363" i="5"/>
  <c r="X363" i="5" s="1"/>
  <c r="V364" i="5"/>
  <c r="E364" i="5"/>
  <c r="X364" i="5" s="1"/>
  <c r="V365" i="5"/>
  <c r="E365" i="5"/>
  <c r="X365" i="5" s="1"/>
  <c r="V366" i="5"/>
  <c r="E366" i="5"/>
  <c r="V367" i="5"/>
  <c r="E367" i="5"/>
  <c r="X367" i="5" s="1"/>
  <c r="V368" i="5"/>
  <c r="E368" i="5"/>
  <c r="X368" i="5" s="1"/>
  <c r="V369" i="5"/>
  <c r="E369" i="5"/>
  <c r="X369" i="5" s="1"/>
  <c r="V370" i="5"/>
  <c r="E370" i="5"/>
  <c r="V371" i="5"/>
  <c r="E371" i="5"/>
  <c r="X371" i="5" s="1"/>
  <c r="V372" i="5"/>
  <c r="E372" i="5"/>
  <c r="X372" i="5" s="1"/>
  <c r="V373" i="5"/>
  <c r="E373" i="5"/>
  <c r="X373" i="5" s="1"/>
  <c r="V374" i="5"/>
  <c r="E374" i="5"/>
  <c r="V375" i="5"/>
  <c r="E375" i="5"/>
  <c r="X375" i="5" s="1"/>
  <c r="V376" i="5"/>
  <c r="E376" i="5"/>
  <c r="X376" i="5" s="1"/>
  <c r="V377" i="5"/>
  <c r="E377" i="5"/>
  <c r="X377" i="5" s="1"/>
  <c r="V378" i="5"/>
  <c r="E378" i="5"/>
  <c r="V379" i="5"/>
  <c r="E379" i="5"/>
  <c r="X379" i="5" s="1"/>
  <c r="V380" i="5"/>
  <c r="E380" i="5"/>
  <c r="X380" i="5" s="1"/>
  <c r="V381" i="5"/>
  <c r="E381" i="5"/>
  <c r="X381" i="5" s="1"/>
  <c r="V382" i="5"/>
  <c r="E382" i="5"/>
  <c r="V383" i="5"/>
  <c r="E383" i="5"/>
  <c r="X383" i="5" s="1"/>
  <c r="V384" i="5"/>
  <c r="E384" i="5"/>
  <c r="X384" i="5" s="1"/>
  <c r="V385" i="5"/>
  <c r="E385" i="5"/>
  <c r="X385" i="5" s="1"/>
  <c r="V386" i="5"/>
  <c r="E386" i="5"/>
  <c r="X386" i="5" s="1"/>
  <c r="V387" i="5"/>
  <c r="E387" i="5"/>
  <c r="X387" i="5" s="1"/>
  <c r="V388" i="5"/>
  <c r="E388" i="5"/>
  <c r="X388" i="5" s="1"/>
  <c r="V389" i="5"/>
  <c r="E389" i="5"/>
  <c r="X389" i="5" s="1"/>
  <c r="V390" i="5"/>
  <c r="E390" i="5"/>
  <c r="V391" i="5"/>
  <c r="E391" i="5"/>
  <c r="X391" i="5" s="1"/>
  <c r="V392" i="5"/>
  <c r="E392" i="5"/>
  <c r="X392" i="5" s="1"/>
  <c r="V393" i="5"/>
  <c r="E393" i="5"/>
  <c r="X393" i="5" s="1"/>
  <c r="V394" i="5"/>
  <c r="E394" i="5"/>
  <c r="V395" i="5"/>
  <c r="E395" i="5"/>
  <c r="X395" i="5" s="1"/>
  <c r="V396" i="5"/>
  <c r="E396" i="5"/>
  <c r="X396" i="5" s="1"/>
  <c r="V397" i="5"/>
  <c r="E397" i="5"/>
  <c r="X397" i="5" s="1"/>
  <c r="V398" i="5"/>
  <c r="E398" i="5"/>
  <c r="V399" i="5"/>
  <c r="E399" i="5"/>
  <c r="X399" i="5" s="1"/>
  <c r="V400" i="5"/>
  <c r="E400" i="5"/>
  <c r="X400" i="5" s="1"/>
  <c r="V401" i="5"/>
  <c r="E401" i="5"/>
  <c r="X401" i="5" s="1"/>
  <c r="V402" i="5"/>
  <c r="E402" i="5"/>
  <c r="V403" i="5"/>
  <c r="E403" i="5"/>
  <c r="X403" i="5" s="1"/>
  <c r="V404" i="5"/>
  <c r="E404" i="5"/>
  <c r="X404" i="5" s="1"/>
  <c r="V405" i="5"/>
  <c r="E405" i="5"/>
  <c r="X405" i="5" s="1"/>
  <c r="V406" i="5"/>
  <c r="E406" i="5"/>
  <c r="V407" i="5"/>
  <c r="E407" i="5"/>
  <c r="X407" i="5" s="1"/>
  <c r="V408" i="5"/>
  <c r="E408" i="5"/>
  <c r="X408" i="5" s="1"/>
  <c r="V409" i="5"/>
  <c r="E409" i="5"/>
  <c r="X409" i="5" s="1"/>
  <c r="V410" i="5"/>
  <c r="E410" i="5"/>
  <c r="V411" i="5"/>
  <c r="E411" i="5"/>
  <c r="X411" i="5" s="1"/>
  <c r="V412" i="5"/>
  <c r="E412" i="5"/>
  <c r="X412" i="5" s="1"/>
  <c r="V413" i="5"/>
  <c r="E413" i="5"/>
  <c r="X413" i="5" s="1"/>
  <c r="V414" i="5"/>
  <c r="E414" i="5"/>
  <c r="V415" i="5"/>
  <c r="E415" i="5"/>
  <c r="X415" i="5" s="1"/>
  <c r="V416" i="5"/>
  <c r="E416" i="5"/>
  <c r="X416" i="5" s="1"/>
  <c r="V417" i="5"/>
  <c r="E417" i="5"/>
  <c r="X417" i="5" s="1"/>
  <c r="V418" i="5"/>
  <c r="E418" i="5"/>
  <c r="X418" i="5" s="1"/>
  <c r="V419" i="5"/>
  <c r="E419" i="5"/>
  <c r="X419" i="5" s="1"/>
  <c r="V420" i="5"/>
  <c r="E420" i="5"/>
  <c r="X420" i="5" s="1"/>
  <c r="V421" i="5"/>
  <c r="E421" i="5"/>
  <c r="X421" i="5" s="1"/>
  <c r="V422" i="5"/>
  <c r="E422" i="5"/>
  <c r="V423" i="5"/>
  <c r="E423" i="5"/>
  <c r="X423" i="5" s="1"/>
  <c r="V424" i="5"/>
  <c r="E424" i="5"/>
  <c r="X424" i="5" s="1"/>
  <c r="V425" i="5"/>
  <c r="E425" i="5"/>
  <c r="X425" i="5" s="1"/>
  <c r="V426" i="5"/>
  <c r="E426" i="5"/>
  <c r="V427" i="5"/>
  <c r="E427" i="5"/>
  <c r="X427" i="5" s="1"/>
  <c r="V428" i="5"/>
  <c r="E428" i="5"/>
  <c r="X428" i="5" s="1"/>
  <c r="V429" i="5"/>
  <c r="E429" i="5"/>
  <c r="X429" i="5" s="1"/>
  <c r="V430" i="5"/>
  <c r="E430" i="5"/>
  <c r="X430" i="5" s="1"/>
  <c r="V431" i="5"/>
  <c r="E431" i="5"/>
  <c r="X431" i="5" s="1"/>
  <c r="V432" i="5"/>
  <c r="E432" i="5"/>
  <c r="X432" i="5" s="1"/>
  <c r="V433" i="5"/>
  <c r="E433" i="5"/>
  <c r="X433" i="5" s="1"/>
  <c r="V434" i="5"/>
  <c r="E434" i="5"/>
  <c r="V435" i="5"/>
  <c r="E435" i="5"/>
  <c r="X435" i="5" s="1"/>
  <c r="V436" i="5"/>
  <c r="E436" i="5"/>
  <c r="X436" i="5" s="1"/>
  <c r="V437" i="5"/>
  <c r="E437" i="5"/>
  <c r="X437" i="5" s="1"/>
  <c r="V438" i="5"/>
  <c r="E438" i="5"/>
  <c r="V439" i="5"/>
  <c r="E439" i="5"/>
  <c r="X439" i="5" s="1"/>
  <c r="V440" i="5"/>
  <c r="E440" i="5"/>
  <c r="X440" i="5" s="1"/>
  <c r="V441" i="5"/>
  <c r="E441" i="5"/>
  <c r="X441" i="5" s="1"/>
  <c r="V442" i="5"/>
  <c r="E442" i="5"/>
  <c r="V443" i="5"/>
  <c r="E443" i="5"/>
  <c r="X443" i="5" s="1"/>
  <c r="V444" i="5"/>
  <c r="E444" i="5"/>
  <c r="X444" i="5" s="1"/>
  <c r="V445" i="5"/>
  <c r="E445" i="5"/>
  <c r="X445" i="5" s="1"/>
  <c r="V446" i="5"/>
  <c r="E446" i="5"/>
  <c r="V447" i="5"/>
  <c r="E447" i="5"/>
  <c r="X447" i="5" s="1"/>
  <c r="V448" i="5"/>
  <c r="E448" i="5"/>
  <c r="X448" i="5" s="1"/>
  <c r="V449" i="5"/>
  <c r="E449" i="5"/>
  <c r="X449" i="5" s="1"/>
  <c r="V450" i="5"/>
  <c r="E450" i="5"/>
  <c r="V451" i="5"/>
  <c r="E451" i="5"/>
  <c r="X451" i="5" s="1"/>
  <c r="V452" i="5"/>
  <c r="E452" i="5"/>
  <c r="X452" i="5" s="1"/>
  <c r="V453" i="5"/>
  <c r="E453" i="5"/>
  <c r="X453" i="5" s="1"/>
  <c r="V454" i="5"/>
  <c r="E454" i="5"/>
  <c r="V455" i="5"/>
  <c r="E455" i="5"/>
  <c r="X455" i="5" s="1"/>
  <c r="V456" i="5"/>
  <c r="E456" i="5"/>
  <c r="X456" i="5" s="1"/>
  <c r="V457" i="5"/>
  <c r="E457" i="5"/>
  <c r="X457" i="5" s="1"/>
  <c r="V458" i="5"/>
  <c r="E458" i="5"/>
  <c r="V459" i="5"/>
  <c r="E459" i="5"/>
  <c r="X459" i="5" s="1"/>
  <c r="V460" i="5"/>
  <c r="E460" i="5"/>
  <c r="X460" i="5" s="1"/>
  <c r="V461" i="5"/>
  <c r="E461" i="5"/>
  <c r="X461" i="5" s="1"/>
  <c r="V462" i="5"/>
  <c r="E462" i="5"/>
  <c r="X462" i="5" s="1"/>
  <c r="V463" i="5"/>
  <c r="E463" i="5"/>
  <c r="X463" i="5" s="1"/>
  <c r="V464" i="5"/>
  <c r="E464" i="5"/>
  <c r="X464" i="5" s="1"/>
  <c r="V465" i="5"/>
  <c r="E465" i="5"/>
  <c r="X465" i="5" s="1"/>
  <c r="V466" i="5"/>
  <c r="E466" i="5"/>
  <c r="V467" i="5"/>
  <c r="E467" i="5"/>
  <c r="X467" i="5" s="1"/>
  <c r="V468" i="5"/>
  <c r="E468" i="5"/>
  <c r="X468" i="5" s="1"/>
  <c r="V469" i="5"/>
  <c r="E469" i="5"/>
  <c r="V470" i="5"/>
  <c r="E470" i="5"/>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V487" i="5"/>
  <c r="E487" i="5"/>
  <c r="X487" i="5" s="1"/>
  <c r="V488" i="5"/>
  <c r="E488" i="5"/>
  <c r="X488" i="5" s="1"/>
  <c r="V489" i="5"/>
  <c r="E489" i="5"/>
  <c r="X489" i="5" s="1"/>
  <c r="V490" i="5"/>
  <c r="E490" i="5"/>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V503" i="5"/>
  <c r="E503" i="5"/>
  <c r="X503" i="5" s="1"/>
  <c r="V504" i="5"/>
  <c r="E504" i="5"/>
  <c r="X504" i="5" s="1"/>
  <c r="V505" i="5"/>
  <c r="E505" i="5"/>
  <c r="X505" i="5" s="1"/>
  <c r="V506" i="5"/>
  <c r="E506" i="5"/>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V523" i="5"/>
  <c r="E523" i="5"/>
  <c r="X523" i="5" s="1"/>
  <c r="V524" i="5"/>
  <c r="E524" i="5"/>
  <c r="X524" i="5" s="1"/>
  <c r="V525" i="5"/>
  <c r="E525" i="5"/>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V535" i="5"/>
  <c r="E535" i="5"/>
  <c r="X535" i="5" s="1"/>
  <c r="V536" i="5"/>
  <c r="E536" i="5"/>
  <c r="X536" i="5" s="1"/>
  <c r="V537" i="5"/>
  <c r="E537" i="5"/>
  <c r="X537" i="5" s="1"/>
  <c r="V538" i="5"/>
  <c r="E538" i="5"/>
  <c r="V539" i="5"/>
  <c r="E539" i="5"/>
  <c r="X539" i="5" s="1"/>
  <c r="V540" i="5"/>
  <c r="E540" i="5"/>
  <c r="X540" i="5" s="1"/>
  <c r="V541" i="5"/>
  <c r="E541" i="5"/>
  <c r="X541" i="5" s="1"/>
  <c r="V542" i="5"/>
  <c r="E542" i="5"/>
  <c r="V543" i="5"/>
  <c r="E543" i="5"/>
  <c r="X543" i="5" s="1"/>
  <c r="V544" i="5"/>
  <c r="E544" i="5"/>
  <c r="X544" i="5" s="1"/>
  <c r="V545" i="5"/>
  <c r="E545" i="5"/>
  <c r="X545" i="5" s="1"/>
  <c r="V546" i="5"/>
  <c r="E546" i="5"/>
  <c r="V547" i="5"/>
  <c r="E547" i="5"/>
  <c r="X547" i="5" s="1"/>
  <c r="V548" i="5"/>
  <c r="E548" i="5"/>
  <c r="X548" i="5" s="1"/>
  <c r="V549" i="5"/>
  <c r="E549" i="5"/>
  <c r="X549" i="5" s="1"/>
  <c r="V550" i="5"/>
  <c r="E550" i="5"/>
  <c r="X550" i="5" s="1"/>
  <c r="V551" i="5"/>
  <c r="E551" i="5"/>
  <c r="X551" i="5" s="1"/>
  <c r="V552" i="5"/>
  <c r="E552" i="5"/>
  <c r="X552" i="5" s="1"/>
  <c r="V553" i="5"/>
  <c r="E553" i="5"/>
  <c r="X553" i="5" s="1"/>
  <c r="V554" i="5"/>
  <c r="E554" i="5"/>
  <c r="V555" i="5"/>
  <c r="E555" i="5"/>
  <c r="X555" i="5" s="1"/>
  <c r="V556" i="5"/>
  <c r="E556" i="5"/>
  <c r="X556" i="5" s="1"/>
  <c r="V557" i="5"/>
  <c r="E557" i="5"/>
  <c r="V558" i="5"/>
  <c r="E558" i="5"/>
  <c r="V559" i="5"/>
  <c r="E559" i="5"/>
  <c r="X559" i="5" s="1"/>
  <c r="V560" i="5"/>
  <c r="E560" i="5"/>
  <c r="X560" i="5" s="1"/>
  <c r="V561" i="5"/>
  <c r="E561" i="5"/>
  <c r="X561" i="5" s="1"/>
  <c r="V562" i="5"/>
  <c r="E562" i="5"/>
  <c r="X562" i="5" s="1"/>
  <c r="V563" i="5"/>
  <c r="E563" i="5"/>
  <c r="X563" i="5" s="1"/>
  <c r="V564" i="5"/>
  <c r="E564" i="5"/>
  <c r="X564" i="5" s="1"/>
  <c r="V565" i="5"/>
  <c r="E565" i="5"/>
  <c r="V566" i="5"/>
  <c r="E566" i="5"/>
  <c r="X566" i="5" s="1"/>
  <c r="V567" i="5"/>
  <c r="E567" i="5"/>
  <c r="X567" i="5" s="1"/>
  <c r="V568" i="5"/>
  <c r="E568" i="5"/>
  <c r="X568" i="5" s="1"/>
  <c r="V569" i="5"/>
  <c r="E569" i="5"/>
  <c r="X569" i="5" s="1"/>
  <c r="V570" i="5"/>
  <c r="E570" i="5"/>
  <c r="V571" i="5"/>
  <c r="E571" i="5"/>
  <c r="X571" i="5" s="1"/>
  <c r="V572" i="5"/>
  <c r="E572" i="5"/>
  <c r="X572" i="5" s="1"/>
  <c r="V573" i="5"/>
  <c r="E573" i="5"/>
  <c r="X573" i="5" s="1"/>
  <c r="V574" i="5"/>
  <c r="E574" i="5"/>
  <c r="V575" i="5"/>
  <c r="E575" i="5"/>
  <c r="X575" i="5" s="1"/>
  <c r="V576" i="5"/>
  <c r="E576" i="5"/>
  <c r="X576" i="5" s="1"/>
  <c r="V577" i="5"/>
  <c r="E577" i="5"/>
  <c r="X577" i="5" s="1"/>
  <c r="V578" i="5"/>
  <c r="E578" i="5"/>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V603" i="5"/>
  <c r="E603" i="5"/>
  <c r="X603" i="5" s="1"/>
  <c r="V604" i="5"/>
  <c r="E604" i="5"/>
  <c r="X604" i="5" s="1"/>
  <c r="V605" i="5"/>
  <c r="E605" i="5"/>
  <c r="X605" i="5" s="1"/>
  <c r="V606" i="5"/>
  <c r="E606" i="5"/>
  <c r="X606" i="5" s="1"/>
  <c r="V607" i="5"/>
  <c r="E607" i="5"/>
  <c r="X607" i="5" s="1"/>
  <c r="V608" i="5"/>
  <c r="E608" i="5"/>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V675" i="5"/>
  <c r="E675" i="5"/>
  <c r="X675" i="5" s="1"/>
  <c r="V676" i="5"/>
  <c r="E676" i="5"/>
  <c r="X676" i="5" s="1"/>
  <c r="V677" i="5"/>
  <c r="E677" i="5"/>
  <c r="X677" i="5" s="1"/>
  <c r="V678" i="5"/>
  <c r="E678" i="5"/>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V703" i="5"/>
  <c r="E703" i="5"/>
  <c r="V704" i="5"/>
  <c r="E704" i="5"/>
  <c r="X704" i="5" s="1"/>
  <c r="V705" i="5"/>
  <c r="E705" i="5"/>
  <c r="X705" i="5" s="1"/>
  <c r="V706" i="5"/>
  <c r="E706" i="5"/>
  <c r="X706" i="5" s="1"/>
  <c r="V707" i="5"/>
  <c r="E707" i="5"/>
  <c r="X707" i="5" s="1"/>
  <c r="V708" i="5"/>
  <c r="E708" i="5"/>
  <c r="X708" i="5" s="1"/>
  <c r="V709" i="5"/>
  <c r="E709" i="5"/>
  <c r="X709" i="5" s="1"/>
  <c r="V710" i="5"/>
  <c r="E710" i="5"/>
  <c r="V711" i="5"/>
  <c r="E711" i="5"/>
  <c r="X711" i="5" s="1"/>
  <c r="V712" i="5"/>
  <c r="E712" i="5"/>
  <c r="X712" i="5" s="1"/>
  <c r="V713" i="5"/>
  <c r="E713" i="5"/>
  <c r="X713" i="5" s="1"/>
  <c r="V714" i="5"/>
  <c r="E714" i="5"/>
  <c r="X714" i="5" s="1"/>
  <c r="V715" i="5"/>
  <c r="E715" i="5"/>
  <c r="X715" i="5" s="1"/>
  <c r="V716" i="5"/>
  <c r="E716" i="5"/>
  <c r="X716" i="5" s="1"/>
  <c r="V717" i="5"/>
  <c r="E717" i="5"/>
  <c r="X717" i="5" s="1"/>
  <c r="V718" i="5"/>
  <c r="E718" i="5"/>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V864" i="5"/>
  <c r="E864" i="5"/>
  <c r="X864" i="5" s="1"/>
  <c r="V865" i="5"/>
  <c r="E865" i="5"/>
  <c r="X865" i="5" s="1"/>
  <c r="V866" i="5"/>
  <c r="E866" i="5"/>
  <c r="V867" i="5"/>
  <c r="E867" i="5"/>
  <c r="X867" i="5" s="1"/>
  <c r="V868" i="5"/>
  <c r="E868" i="5"/>
  <c r="X868" i="5" s="1"/>
  <c r="V869" i="5"/>
  <c r="E869" i="5"/>
  <c r="X869" i="5" s="1"/>
  <c r="V870" i="5"/>
  <c r="E870" i="5"/>
  <c r="X870" i="5" s="1"/>
  <c r="V871" i="5"/>
  <c r="E871" i="5"/>
  <c r="X871" i="5" s="1"/>
  <c r="V872" i="5"/>
  <c r="E872" i="5"/>
  <c r="X872" i="5" s="1"/>
  <c r="V873" i="5"/>
  <c r="E873" i="5"/>
  <c r="X873" i="5" s="1"/>
  <c r="V874" i="5"/>
  <c r="E874" i="5"/>
  <c r="V875" i="5"/>
  <c r="E875" i="5"/>
  <c r="X875" i="5" s="1"/>
  <c r="V876" i="5"/>
  <c r="E876" i="5"/>
  <c r="X876" i="5" s="1"/>
  <c r="V877" i="5"/>
  <c r="E877" i="5"/>
  <c r="X877" i="5" s="1"/>
  <c r="V878" i="5"/>
  <c r="E878" i="5"/>
  <c r="X878" i="5" s="1"/>
  <c r="V879" i="5"/>
  <c r="E879" i="5"/>
  <c r="X879" i="5" s="1"/>
  <c r="V880" i="5"/>
  <c r="E880" i="5"/>
  <c r="X880" i="5" s="1"/>
  <c r="V881" i="5"/>
  <c r="E881" i="5"/>
  <c r="X881" i="5" s="1"/>
  <c r="V882" i="5"/>
  <c r="E882" i="5"/>
  <c r="V883" i="5"/>
  <c r="E883" i="5"/>
  <c r="X883" i="5" s="1"/>
  <c r="V884" i="5"/>
  <c r="E884" i="5"/>
  <c r="X884" i="5" s="1"/>
  <c r="V885" i="5"/>
  <c r="E885" i="5"/>
  <c r="X885" i="5" s="1"/>
  <c r="V886" i="5"/>
  <c r="E886" i="5"/>
  <c r="V887" i="5"/>
  <c r="E887" i="5"/>
  <c r="X887" i="5" s="1"/>
  <c r="V888" i="5"/>
  <c r="E888" i="5"/>
  <c r="X888" i="5" s="1"/>
  <c r="V889" i="5"/>
  <c r="E889" i="5"/>
  <c r="X889" i="5" s="1"/>
  <c r="V890" i="5"/>
  <c r="E890" i="5"/>
  <c r="V891" i="5"/>
  <c r="E891" i="5"/>
  <c r="X891" i="5" s="1"/>
  <c r="V892" i="5"/>
  <c r="E892" i="5"/>
  <c r="X892" i="5" s="1"/>
  <c r="V893" i="5"/>
  <c r="E893" i="5"/>
  <c r="X893" i="5" s="1"/>
  <c r="V894" i="5"/>
  <c r="E894" i="5"/>
  <c r="V895" i="5"/>
  <c r="E895" i="5"/>
  <c r="X895" i="5" s="1"/>
  <c r="V896" i="5"/>
  <c r="E896" i="5"/>
  <c r="X896" i="5" s="1"/>
  <c r="V897" i="5"/>
  <c r="E897" i="5"/>
  <c r="X897" i="5" s="1"/>
  <c r="V898" i="5"/>
  <c r="E898" i="5"/>
  <c r="X898" i="5" s="1"/>
  <c r="V899" i="5"/>
  <c r="E899" i="5"/>
  <c r="X899" i="5" s="1"/>
  <c r="V900" i="5"/>
  <c r="E900" i="5"/>
  <c r="X900" i="5" s="1"/>
  <c r="V901" i="5"/>
  <c r="E901" i="5"/>
  <c r="X901" i="5" s="1"/>
  <c r="V902" i="5"/>
  <c r="E902" i="5"/>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V919" i="5"/>
  <c r="E919" i="5"/>
  <c r="X919" i="5" s="1"/>
  <c r="V920" i="5"/>
  <c r="E920" i="5"/>
  <c r="X920" i="5" s="1"/>
  <c r="V921" i="5"/>
  <c r="E921" i="5"/>
  <c r="X921" i="5" s="1"/>
  <c r="V922" i="5"/>
  <c r="E922" i="5"/>
  <c r="X922" i="5" s="1"/>
  <c r="V923" i="5"/>
  <c r="E923" i="5"/>
  <c r="X923" i="5" s="1"/>
  <c r="V924" i="5"/>
  <c r="E924" i="5"/>
  <c r="X924" i="5" s="1"/>
  <c r="V925" i="5"/>
  <c r="E925" i="5"/>
  <c r="X925" i="5" s="1"/>
  <c r="V926" i="5"/>
  <c r="E926" i="5"/>
  <c r="V927" i="5"/>
  <c r="E927" i="5"/>
  <c r="X927" i="5" s="1"/>
  <c r="V928" i="5"/>
  <c r="E928" i="5"/>
  <c r="X928" i="5" s="1"/>
  <c r="V929" i="5"/>
  <c r="E929" i="5"/>
  <c r="X929" i="5" s="1"/>
  <c r="V930" i="5"/>
  <c r="E930" i="5"/>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V971" i="5"/>
  <c r="E971" i="5"/>
  <c r="V972" i="5"/>
  <c r="E972" i="5"/>
  <c r="V973" i="5"/>
  <c r="E973" i="5"/>
  <c r="X973" i="5" s="1"/>
  <c r="V974" i="5"/>
  <c r="E974" i="5"/>
  <c r="X974" i="5" s="1"/>
  <c r="V975" i="5"/>
  <c r="E975" i="5"/>
  <c r="X975" i="5" s="1"/>
  <c r="V976" i="5"/>
  <c r="E976" i="5"/>
  <c r="V977" i="5"/>
  <c r="E977" i="5"/>
  <c r="V978" i="5"/>
  <c r="E978" i="5"/>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V988" i="5"/>
  <c r="E988" i="5"/>
  <c r="X988" i="5" s="1"/>
  <c r="V989" i="5"/>
  <c r="E989" i="5"/>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V1027" i="5"/>
  <c r="E1027" i="5"/>
  <c r="X1027" i="5" s="1"/>
  <c r="V1028" i="5"/>
  <c r="E1028" i="5"/>
  <c r="X1028" i="5" s="1"/>
  <c r="V1029" i="5"/>
  <c r="E1029" i="5"/>
  <c r="X1029" i="5" s="1"/>
  <c r="V1030" i="5"/>
  <c r="E1030" i="5"/>
  <c r="V1031" i="5"/>
  <c r="E1031" i="5"/>
  <c r="X1031" i="5" s="1"/>
  <c r="V1032" i="5"/>
  <c r="E1032" i="5"/>
  <c r="V1033" i="5"/>
  <c r="E1033" i="5"/>
  <c r="X1033" i="5" s="1"/>
  <c r="V1034" i="5"/>
  <c r="E1034" i="5"/>
  <c r="X1034" i="5" s="1"/>
  <c r="V1035" i="5"/>
  <c r="E1035" i="5"/>
  <c r="X1035" i="5" s="1"/>
  <c r="V1036" i="5"/>
  <c r="E1036" i="5"/>
  <c r="X1036" i="5" s="1"/>
  <c r="V1037" i="5"/>
  <c r="E1037" i="5"/>
  <c r="X1037" i="5" s="1"/>
  <c r="V1038" i="5"/>
  <c r="E1038" i="5"/>
  <c r="X1038" i="5" s="1"/>
  <c r="V1039" i="5"/>
  <c r="E1039" i="5"/>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V1147" i="5"/>
  <c r="E1147" i="5"/>
  <c r="X1147" i="5" s="1"/>
  <c r="V1148" i="5"/>
  <c r="E1148" i="5"/>
  <c r="X1148" i="5" s="1"/>
  <c r="V1149" i="5"/>
  <c r="E1149" i="5"/>
  <c r="X1149" i="5" s="1"/>
  <c r="V1150" i="5"/>
  <c r="E1150" i="5"/>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V1191" i="5"/>
  <c r="E1191" i="5"/>
  <c r="X1191" i="5" s="1"/>
  <c r="V1192" i="5"/>
  <c r="E1192" i="5"/>
  <c r="X1192" i="5" s="1"/>
  <c r="V1193" i="5"/>
  <c r="E1193" i="5"/>
  <c r="X1193" i="5" s="1"/>
  <c r="V1194" i="5"/>
  <c r="E1194" i="5"/>
  <c r="V1195" i="5"/>
  <c r="E1195" i="5"/>
  <c r="X1195" i="5" s="1"/>
  <c r="V1196" i="5"/>
  <c r="E1196" i="5"/>
  <c r="X1196" i="5" s="1"/>
  <c r="V1197" i="5"/>
  <c r="E1197" i="5"/>
  <c r="X1197" i="5" s="1"/>
  <c r="V1198" i="5"/>
  <c r="E1198" i="5"/>
  <c r="V1199" i="5"/>
  <c r="E1199" i="5"/>
  <c r="X1199" i="5" s="1"/>
  <c r="V1200" i="5"/>
  <c r="E1200" i="5"/>
  <c r="X1200" i="5" s="1"/>
  <c r="V1201" i="5"/>
  <c r="E1201" i="5"/>
  <c r="X1201" i="5" s="1"/>
  <c r="V1202" i="5"/>
  <c r="E1202" i="5"/>
  <c r="V1203" i="5"/>
  <c r="E1203" i="5"/>
  <c r="X1203" i="5" s="1"/>
  <c r="V1204" i="5"/>
  <c r="E1204" i="5"/>
  <c r="X1204" i="5" s="1"/>
  <c r="V1205" i="5"/>
  <c r="E1205" i="5"/>
  <c r="X1205" i="5" s="1"/>
  <c r="V1206" i="5"/>
  <c r="E1206" i="5"/>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V1255" i="5"/>
  <c r="E1255" i="5"/>
  <c r="X1255" i="5" s="1"/>
  <c r="V1256" i="5"/>
  <c r="E1256" i="5"/>
  <c r="X1256" i="5" s="1"/>
  <c r="V1257" i="5"/>
  <c r="E1257" i="5"/>
  <c r="X1257" i="5" s="1"/>
  <c r="V1258" i="5"/>
  <c r="E1258" i="5"/>
  <c r="V1259" i="5"/>
  <c r="E1259" i="5"/>
  <c r="X1259" i="5" s="1"/>
  <c r="V1260" i="5"/>
  <c r="E1260" i="5"/>
  <c r="X1260" i="5" s="1"/>
  <c r="V1261" i="5"/>
  <c r="E1261" i="5"/>
  <c r="X1261" i="5" s="1"/>
  <c r="V1262" i="5"/>
  <c r="E1262" i="5"/>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V1271" i="5"/>
  <c r="E1271" i="5"/>
  <c r="X1271" i="5" s="1"/>
  <c r="V1272" i="5"/>
  <c r="E1272" i="5"/>
  <c r="V1273" i="5"/>
  <c r="E1273" i="5"/>
  <c r="X1273" i="5" s="1"/>
  <c r="V1274" i="5"/>
  <c r="E1274" i="5"/>
  <c r="V1275" i="5"/>
  <c r="E1275" i="5"/>
  <c r="X1275" i="5" s="1"/>
  <c r="V1276" i="5"/>
  <c r="E1276" i="5"/>
  <c r="X1276" i="5" s="1"/>
  <c r="V1277" i="5"/>
  <c r="E1277" i="5"/>
  <c r="X1277" i="5" s="1"/>
  <c r="V1278" i="5"/>
  <c r="E1278" i="5"/>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V1303" i="5"/>
  <c r="E1303" i="5"/>
  <c r="X1303" i="5" s="1"/>
  <c r="V1304" i="5"/>
  <c r="E1304" i="5"/>
  <c r="X1304" i="5" s="1"/>
  <c r="V1305" i="5"/>
  <c r="E1305" i="5"/>
  <c r="X1305" i="5" s="1"/>
  <c r="V1306" i="5"/>
  <c r="E1306" i="5"/>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V1359" i="5"/>
  <c r="E1359" i="5"/>
  <c r="X1359" i="5" s="1"/>
  <c r="V1360" i="5"/>
  <c r="E1360" i="5"/>
  <c r="X1360" i="5" s="1"/>
  <c r="V1361" i="5"/>
  <c r="E1361" i="5"/>
  <c r="X1361" i="5" s="1"/>
  <c r="V1362" i="5"/>
  <c r="E1362" i="5"/>
  <c r="V1363" i="5"/>
  <c r="E1363" i="5"/>
  <c r="X1363" i="5" s="1"/>
  <c r="V1364" i="5"/>
  <c r="E1364" i="5"/>
  <c r="X1364" i="5" s="1"/>
  <c r="V1365" i="5"/>
  <c r="E1365" i="5"/>
  <c r="X1365" i="5" s="1"/>
  <c r="V1366" i="5"/>
  <c r="E1366" i="5"/>
  <c r="V1367" i="5"/>
  <c r="E1367" i="5"/>
  <c r="X1367" i="5" s="1"/>
  <c r="V1368" i="5"/>
  <c r="E1368" i="5"/>
  <c r="X1368" i="5" s="1"/>
  <c r="V1369" i="5"/>
  <c r="E1369" i="5"/>
  <c r="X1369" i="5" s="1"/>
  <c r="V1370" i="5"/>
  <c r="E1370" i="5"/>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V1379" i="5"/>
  <c r="E1379" i="5"/>
  <c r="X1379" i="5" s="1"/>
  <c r="V1380" i="5"/>
  <c r="E1380" i="5"/>
  <c r="X1380" i="5" s="1"/>
  <c r="V1381" i="5"/>
  <c r="E1381" i="5"/>
  <c r="X1381" i="5" s="1"/>
  <c r="V1382" i="5"/>
  <c r="E1382" i="5"/>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V1395" i="5"/>
  <c r="E1395" i="5"/>
  <c r="X1395" i="5" s="1"/>
  <c r="V1396" i="5"/>
  <c r="E1396" i="5"/>
  <c r="X1396" i="5" s="1"/>
  <c r="V1397" i="5"/>
  <c r="E1397" i="5"/>
  <c r="X1397" i="5" s="1"/>
  <c r="V1398" i="5"/>
  <c r="E1398" i="5"/>
  <c r="X1398" i="5" s="1"/>
  <c r="V1399" i="5"/>
  <c r="E1399" i="5"/>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V1411" i="5"/>
  <c r="E1411" i="5"/>
  <c r="X1411" i="5" s="1"/>
  <c r="V1412" i="5"/>
  <c r="E1412" i="5"/>
  <c r="X1412" i="5" s="1"/>
  <c r="V1413" i="5"/>
  <c r="E1413" i="5"/>
  <c r="X1413" i="5" s="1"/>
  <c r="V1414" i="5"/>
  <c r="E1414" i="5"/>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V1472" i="5"/>
  <c r="E1472" i="5"/>
  <c r="X1472" i="5" s="1"/>
  <c r="V1473" i="5"/>
  <c r="E1473" i="5"/>
  <c r="X1473" i="5" s="1"/>
  <c r="V1474" i="5"/>
  <c r="E1474" i="5"/>
  <c r="X1474" i="5" s="1"/>
  <c r="V1475" i="5"/>
  <c r="E1475" i="5"/>
  <c r="X1475" i="5" s="1"/>
  <c r="V1476" i="5"/>
  <c r="E1476" i="5"/>
  <c r="X1476" i="5" s="1"/>
  <c r="V1477" i="5"/>
  <c r="E1477" i="5"/>
  <c r="X1477" i="5" s="1"/>
  <c r="V1478" i="5"/>
  <c r="E1478" i="5"/>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V1506" i="5"/>
  <c r="E1506" i="5"/>
  <c r="X1506" i="5" s="1"/>
  <c r="V1507" i="5"/>
  <c r="E1507" i="5"/>
  <c r="X1507" i="5" s="1"/>
  <c r="V1508" i="5"/>
  <c r="E1508" i="5"/>
  <c r="X1508" i="5" s="1"/>
  <c r="V1509" i="5"/>
  <c r="E1509" i="5"/>
  <c r="X1509" i="5" s="1"/>
  <c r="V1510" i="5"/>
  <c r="E1510" i="5"/>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V1555" i="5"/>
  <c r="E1555" i="5"/>
  <c r="X1555" i="5" s="1"/>
  <c r="V1556" i="5"/>
  <c r="E1556" i="5"/>
  <c r="X1556" i="5" s="1"/>
  <c r="V1557" i="5"/>
  <c r="E1557" i="5"/>
  <c r="X1557" i="5" s="1"/>
  <c r="V1558" i="5"/>
  <c r="E1558" i="5"/>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V1567" i="5"/>
  <c r="E1567" i="5"/>
  <c r="X1567" i="5" s="1"/>
  <c r="V1568" i="5"/>
  <c r="E1568" i="5"/>
  <c r="X1568" i="5" s="1"/>
  <c r="V1569" i="5"/>
  <c r="E1569" i="5"/>
  <c r="X1569" i="5" s="1"/>
  <c r="V1570" i="5"/>
  <c r="E1570" i="5"/>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V1583" i="5"/>
  <c r="E1583" i="5"/>
  <c r="X1583" i="5" s="1"/>
  <c r="V1584" i="5"/>
  <c r="E1584" i="5"/>
  <c r="X1584" i="5" s="1"/>
  <c r="V1585" i="5"/>
  <c r="E1585" i="5"/>
  <c r="X1585" i="5" s="1"/>
  <c r="V1586" i="5"/>
  <c r="E1586" i="5"/>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V1599" i="5"/>
  <c r="E1599" i="5"/>
  <c r="X1599" i="5" s="1"/>
  <c r="V1600" i="5"/>
  <c r="E1600" i="5"/>
  <c r="X1600" i="5" s="1"/>
  <c r="V1601" i="5"/>
  <c r="E1601" i="5"/>
  <c r="X1601" i="5" s="1"/>
  <c r="V1602" i="5"/>
  <c r="E1602" i="5"/>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V1623" i="5"/>
  <c r="E1623" i="5"/>
  <c r="X1623" i="5" s="1"/>
  <c r="V1624" i="5"/>
  <c r="E1624" i="5"/>
  <c r="X1624" i="5" s="1"/>
  <c r="V1625" i="5"/>
  <c r="E1625" i="5"/>
  <c r="X1625" i="5" s="1"/>
  <c r="V1626" i="5"/>
  <c r="E1626" i="5"/>
  <c r="V1627" i="5"/>
  <c r="E1627" i="5"/>
  <c r="X1627" i="5" s="1"/>
  <c r="V1628" i="5"/>
  <c r="E1628" i="5"/>
  <c r="X1628" i="5" s="1"/>
  <c r="V1629" i="5"/>
  <c r="E1629" i="5"/>
  <c r="X1629" i="5" s="1"/>
  <c r="V1630" i="5"/>
  <c r="E1630" i="5"/>
  <c r="V1631" i="5"/>
  <c r="E1631" i="5"/>
  <c r="X1631" i="5" s="1"/>
  <c r="V1632" i="5"/>
  <c r="E1632" i="5"/>
  <c r="X1632" i="5" s="1"/>
  <c r="V1633" i="5"/>
  <c r="E1633" i="5"/>
  <c r="X1633" i="5" s="1"/>
  <c r="V1634" i="5"/>
  <c r="E1634" i="5"/>
  <c r="X1634" i="5" s="1"/>
  <c r="V1635" i="5"/>
  <c r="E1635" i="5"/>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V1645" i="5"/>
  <c r="E1645" i="5"/>
  <c r="X1645" i="5" s="1"/>
  <c r="V1646" i="5"/>
  <c r="E1646" i="5"/>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V1655" i="5"/>
  <c r="E1655" i="5"/>
  <c r="X1655" i="5" s="1"/>
  <c r="V1656" i="5"/>
  <c r="E1656" i="5"/>
  <c r="X1656" i="5" s="1"/>
  <c r="V1657" i="5"/>
  <c r="E1657" i="5"/>
  <c r="X1657" i="5" s="1"/>
  <c r="V1658" i="5"/>
  <c r="E1658" i="5"/>
  <c r="V1659" i="5"/>
  <c r="E1659" i="5"/>
  <c r="X1659" i="5" s="1"/>
  <c r="V1660" i="5"/>
  <c r="E1660" i="5"/>
  <c r="X1660" i="5" s="1"/>
  <c r="V1661" i="5"/>
  <c r="E1661" i="5"/>
  <c r="X1661" i="5" s="1"/>
  <c r="V1662" i="5"/>
  <c r="E1662" i="5"/>
  <c r="X1662" i="5" s="1"/>
  <c r="V1663" i="5"/>
  <c r="E1663" i="5"/>
  <c r="V1664" i="5"/>
  <c r="E1664" i="5"/>
  <c r="X1664" i="5" s="1"/>
  <c r="V1665" i="5"/>
  <c r="E1665" i="5"/>
  <c r="X1665" i="5" s="1"/>
  <c r="V1666" i="5"/>
  <c r="E1666" i="5"/>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V1675" i="5"/>
  <c r="E1675" i="5"/>
  <c r="X1675" i="5" s="1"/>
  <c r="V1676" i="5"/>
  <c r="E1676" i="5"/>
  <c r="X1676" i="5" s="1"/>
  <c r="V1677" i="5"/>
  <c r="E1677" i="5"/>
  <c r="X1677" i="5" s="1"/>
  <c r="V1678" i="5"/>
  <c r="E1678" i="5"/>
  <c r="V1679" i="5"/>
  <c r="E1679" i="5"/>
  <c r="X1679" i="5" s="1"/>
  <c r="V1680" i="5"/>
  <c r="E1680" i="5"/>
  <c r="X1680" i="5" s="1"/>
  <c r="V1681" i="5"/>
  <c r="E1681" i="5"/>
  <c r="X1681" i="5" s="1"/>
  <c r="V1682" i="5"/>
  <c r="E1682" i="5"/>
  <c r="V1683" i="5"/>
  <c r="E1683" i="5"/>
  <c r="X1683" i="5" s="1"/>
  <c r="V1684" i="5"/>
  <c r="E1684" i="5"/>
  <c r="X1684" i="5" s="1"/>
  <c r="V1685" i="5"/>
  <c r="E1685" i="5"/>
  <c r="X1685" i="5" s="1"/>
  <c r="V1686" i="5"/>
  <c r="E1686" i="5"/>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V1711" i="5"/>
  <c r="E1711" i="5"/>
  <c r="X1711" i="5" s="1"/>
  <c r="V1712" i="5"/>
  <c r="E1712" i="5"/>
  <c r="X1712" i="5" s="1"/>
  <c r="V1713" i="5"/>
  <c r="E1713" i="5"/>
  <c r="X1713" i="5" s="1"/>
  <c r="V1714" i="5"/>
  <c r="E1714" i="5"/>
  <c r="V1715" i="5"/>
  <c r="E1715" i="5"/>
  <c r="X1715" i="5" s="1"/>
  <c r="V1716" i="5"/>
  <c r="E1716" i="5"/>
  <c r="X1716" i="5" s="1"/>
  <c r="V1717" i="5"/>
  <c r="E1717" i="5"/>
  <c r="X1717" i="5" s="1"/>
  <c r="V1718" i="5"/>
  <c r="E1718" i="5"/>
  <c r="V1719" i="5"/>
  <c r="E1719" i="5"/>
  <c r="X1719" i="5" s="1"/>
  <c r="V1720" i="5"/>
  <c r="E1720" i="5"/>
  <c r="X1720" i="5" s="1"/>
  <c r="V1721" i="5"/>
  <c r="E1721" i="5"/>
  <c r="X1721" i="5" s="1"/>
  <c r="V1722" i="5"/>
  <c r="E1722" i="5"/>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V1731" i="5"/>
  <c r="E1731" i="5"/>
  <c r="X1731" i="5" s="1"/>
  <c r="V1732" i="5"/>
  <c r="E1732" i="5"/>
  <c r="X1732" i="5" s="1"/>
  <c r="V1733" i="5"/>
  <c r="E1733" i="5"/>
  <c r="X1733" i="5" s="1"/>
  <c r="V1734" i="5"/>
  <c r="E1734" i="5"/>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V1851" i="5"/>
  <c r="E1851" i="5"/>
  <c r="X1851" i="5" s="1"/>
  <c r="V1852" i="5"/>
  <c r="E1852" i="5"/>
  <c r="X1852" i="5" s="1"/>
  <c r="V1853" i="5"/>
  <c r="E1853" i="5"/>
  <c r="X1853" i="5" s="1"/>
  <c r="V1854" i="5"/>
  <c r="E1854" i="5"/>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V1863" i="5"/>
  <c r="E1863" i="5"/>
  <c r="X1863" i="5" s="1"/>
  <c r="V1864" i="5"/>
  <c r="E1864" i="5"/>
  <c r="X1864" i="5" s="1"/>
  <c r="V1865" i="5"/>
  <c r="E1865" i="5"/>
  <c r="X1865" i="5" s="1"/>
  <c r="V1866" i="5"/>
  <c r="E1866" i="5"/>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V1911" i="5"/>
  <c r="E1911" i="5"/>
  <c r="X1911" i="5" s="1"/>
  <c r="V1912" i="5"/>
  <c r="E1912" i="5"/>
  <c r="X1912" i="5" s="1"/>
  <c r="V1913" i="5"/>
  <c r="E1913" i="5"/>
  <c r="X1913" i="5" s="1"/>
  <c r="V1914" i="5"/>
  <c r="E1914" i="5"/>
  <c r="V1915" i="5"/>
  <c r="E1915" i="5"/>
  <c r="X1915" i="5" s="1"/>
  <c r="V1916" i="5"/>
  <c r="E1916" i="5"/>
  <c r="X1916" i="5" s="1"/>
  <c r="V1917" i="5"/>
  <c r="E1917" i="5"/>
  <c r="X1917" i="5" s="1"/>
  <c r="V1918" i="5"/>
  <c r="E1918" i="5"/>
  <c r="V1919" i="5"/>
  <c r="E1919" i="5"/>
  <c r="X1919" i="5" s="1"/>
  <c r="V1920" i="5"/>
  <c r="E1920" i="5"/>
  <c r="X1920" i="5" s="1"/>
  <c r="V1921" i="5"/>
  <c r="E1921" i="5"/>
  <c r="X1921" i="5" s="1"/>
  <c r="V1922" i="5"/>
  <c r="E1922" i="5"/>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V1939" i="5"/>
  <c r="E1939" i="5"/>
  <c r="X1939" i="5" s="1"/>
  <c r="V1940" i="5"/>
  <c r="E1940" i="5"/>
  <c r="X1940" i="5" s="1"/>
  <c r="V1941" i="5"/>
  <c r="E1941" i="5"/>
  <c r="X1941" i="5" s="1"/>
  <c r="V1942" i="5"/>
  <c r="E1942" i="5"/>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V1951" i="5"/>
  <c r="E1951" i="5"/>
  <c r="X1951" i="5" s="1"/>
  <c r="V1952" i="5"/>
  <c r="E1952" i="5"/>
  <c r="X1952" i="5" s="1"/>
  <c r="V1953" i="5"/>
  <c r="E1953" i="5"/>
  <c r="X1953" i="5" s="1"/>
  <c r="V1954" i="5"/>
  <c r="E1954" i="5"/>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V1963" i="5"/>
  <c r="E1963" i="5"/>
  <c r="X1963" i="5" s="1"/>
  <c r="V1964" i="5"/>
  <c r="E1964" i="5"/>
  <c r="X1964" i="5" s="1"/>
  <c r="V1965" i="5"/>
  <c r="E1965" i="5"/>
  <c r="X1965" i="5" s="1"/>
  <c r="V1966" i="5"/>
  <c r="E1966" i="5"/>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V1983" i="5"/>
  <c r="E1983" i="5"/>
  <c r="X1983" i="5" s="1"/>
  <c r="V1984" i="5"/>
  <c r="E1984" i="5"/>
  <c r="X1984" i="5" s="1"/>
  <c r="V1985" i="5"/>
  <c r="E1985" i="5"/>
  <c r="X1985" i="5" s="1"/>
  <c r="V1986" i="5"/>
  <c r="E1986" i="5"/>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V2043" i="5"/>
  <c r="E2043" i="5"/>
  <c r="X2043" i="5" s="1"/>
  <c r="V2044" i="5"/>
  <c r="E2044" i="5"/>
  <c r="X2044" i="5" s="1"/>
  <c r="V2045" i="5"/>
  <c r="E2045" i="5"/>
  <c r="X2045" i="5" s="1"/>
  <c r="V2046" i="5"/>
  <c r="E2046" i="5"/>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V2064" i="5"/>
  <c r="E2064" i="5"/>
  <c r="X2064" i="5" s="1"/>
  <c r="V2065" i="5"/>
  <c r="E2065" i="5"/>
  <c r="X2065" i="5" s="1"/>
  <c r="V2066" i="5"/>
  <c r="E2066" i="5"/>
  <c r="X2066" i="5" s="1"/>
  <c r="V2067" i="5"/>
  <c r="E2067" i="5"/>
  <c r="X2067" i="5" s="1"/>
  <c r="V2068" i="5"/>
  <c r="E2068" i="5"/>
  <c r="X2068" i="5" s="1"/>
  <c r="V2069" i="5"/>
  <c r="E2069" i="5"/>
  <c r="X2069" i="5" s="1"/>
  <c r="V2070" i="5"/>
  <c r="E2070" i="5"/>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V2115" i="5"/>
  <c r="E2115" i="5"/>
  <c r="V2116" i="5"/>
  <c r="E2116" i="5"/>
  <c r="V2117" i="5"/>
  <c r="E2117" i="5"/>
  <c r="X2117" i="5" s="1"/>
  <c r="V2118" i="5"/>
  <c r="E2118" i="5"/>
  <c r="X2118" i="5" s="1"/>
  <c r="V2119" i="5"/>
  <c r="E2119" i="5"/>
  <c r="X2119" i="5" s="1"/>
  <c r="V2120" i="5"/>
  <c r="E2120" i="5"/>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V2243" i="5"/>
  <c r="E2243" i="5"/>
  <c r="X2243" i="5" s="1"/>
  <c r="V2244" i="5"/>
  <c r="E2244" i="5"/>
  <c r="X2244" i="5" s="1"/>
  <c r="V2245" i="5"/>
  <c r="E2245" i="5"/>
  <c r="X2245" i="5" s="1"/>
  <c r="V2246" i="5"/>
  <c r="E2246" i="5"/>
  <c r="V2247" i="5"/>
  <c r="E2247" i="5"/>
  <c r="X2247" i="5" s="1"/>
  <c r="V2248" i="5"/>
  <c r="E2248" i="5"/>
  <c r="X2248" i="5" s="1"/>
  <c r="V2249" i="5"/>
  <c r="E2249" i="5"/>
  <c r="X2249" i="5" s="1"/>
  <c r="V2250" i="5"/>
  <c r="E2250" i="5"/>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V2328" i="5"/>
  <c r="E2328" i="5"/>
  <c r="X2328" i="5" s="1"/>
  <c r="V2329" i="5"/>
  <c r="E2329" i="5"/>
  <c r="X2329" i="5" s="1"/>
  <c r="V2330" i="5"/>
  <c r="E2330" i="5"/>
  <c r="X2330" i="5" s="1"/>
  <c r="V2331" i="5"/>
  <c r="E2331" i="5"/>
  <c r="X2331" i="5" s="1"/>
  <c r="V2332" i="5"/>
  <c r="E2332" i="5"/>
  <c r="X2332" i="5" s="1"/>
  <c r="V2333" i="5"/>
  <c r="E2333" i="5"/>
  <c r="X2333" i="5" s="1"/>
  <c r="V2334" i="5"/>
  <c r="E2334" i="5"/>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V2379" i="5"/>
  <c r="E2379" i="5"/>
  <c r="X2379" i="5" s="1"/>
  <c r="V2380" i="5"/>
  <c r="E2380" i="5"/>
  <c r="X2380" i="5" s="1"/>
  <c r="V2381" i="5"/>
  <c r="E2381" i="5"/>
  <c r="X2381" i="5" s="1"/>
  <c r="V2382" i="5"/>
  <c r="E2382" i="5"/>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V2403" i="5"/>
  <c r="E2403" i="5"/>
  <c r="X2403" i="5" s="1"/>
  <c r="V2404" i="5"/>
  <c r="E2404" i="5"/>
  <c r="X2404" i="5" s="1"/>
  <c r="V2405" i="5"/>
  <c r="E2405" i="5"/>
  <c r="X2405" i="5" s="1"/>
  <c r="V2406" i="5"/>
  <c r="E2406" i="5"/>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V2467" i="5"/>
  <c r="E2467" i="5"/>
  <c r="X2467" i="5" s="1"/>
  <c r="V2468" i="5"/>
  <c r="E2468" i="5"/>
  <c r="X2468" i="5" s="1"/>
  <c r="V2469" i="5"/>
  <c r="E2469" i="5"/>
  <c r="X2469" i="5" s="1"/>
  <c r="V2470" i="5"/>
  <c r="E2470" i="5"/>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V2479" i="5"/>
  <c r="E2479" i="5"/>
  <c r="X2479" i="5" s="1"/>
  <c r="V2480" i="5"/>
  <c r="E2480" i="5"/>
  <c r="X2480" i="5" s="1"/>
  <c r="V2481" i="5"/>
  <c r="E2481" i="5"/>
  <c r="X2481" i="5" s="1"/>
  <c r="V2482" i="5"/>
  <c r="E2482" i="5"/>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R205" i="5"/>
  <c r="I202" i="5"/>
  <c r="R185" i="5"/>
  <c r="R153" i="5"/>
  <c r="X150" i="5"/>
  <c r="R141" i="5"/>
  <c r="R137" i="5"/>
  <c r="X123" i="5"/>
  <c r="X106" i="5"/>
  <c r="R98" i="5"/>
  <c r="X94" i="5"/>
  <c r="R92" i="5"/>
  <c r="R88" i="5"/>
  <c r="R85" i="5"/>
  <c r="R84" i="5"/>
  <c r="R82" i="5"/>
  <c r="R81" i="5"/>
  <c r="R80" i="5"/>
  <c r="R78" i="5"/>
  <c r="R76" i="5"/>
  <c r="X74" i="5"/>
  <c r="R72" i="5"/>
  <c r="R69" i="5"/>
  <c r="R68" i="5"/>
  <c r="R66" i="5"/>
  <c r="R65" i="5"/>
  <c r="R64" i="5"/>
  <c r="R62" i="5"/>
  <c r="R60" i="5"/>
  <c r="X58" i="5"/>
  <c r="R56" i="5"/>
  <c r="R53" i="5"/>
  <c r="R52" i="5"/>
  <c r="R50" i="5"/>
  <c r="R49" i="5"/>
  <c r="R48" i="5"/>
  <c r="R46" i="5"/>
  <c r="R45" i="5"/>
  <c r="R44" i="5"/>
  <c r="X42" i="5"/>
  <c r="R40" i="5"/>
  <c r="R37" i="5"/>
  <c r="R36" i="5"/>
  <c r="R34" i="5"/>
  <c r="R33" i="5"/>
  <c r="R32" i="5"/>
  <c r="R24" i="5"/>
  <c r="R20" i="5"/>
  <c r="AB18" i="5"/>
  <c r="R6" i="5"/>
  <c r="AB6"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H1753" i="5"/>
  <c r="X75" i="5"/>
  <c r="I764" i="5"/>
  <c r="I2158" i="5"/>
  <c r="R70" i="5"/>
  <c r="AB364" i="5"/>
  <c r="R488" i="5"/>
  <c r="H1178" i="5"/>
  <c r="J1218" i="5"/>
  <c r="J1250" i="5"/>
  <c r="AB1312" i="5"/>
  <c r="F2013" i="5"/>
  <c r="AB2065" i="5"/>
  <c r="AB2152" i="5"/>
  <c r="H2474" i="5"/>
  <c r="X171" i="5"/>
  <c r="AB196" i="5"/>
  <c r="I302"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R780" i="5"/>
  <c r="I780" i="5"/>
  <c r="I393" i="5"/>
  <c r="J393" i="5"/>
  <c r="F393" i="5"/>
  <c r="R630" i="5"/>
  <c r="R612" i="5"/>
  <c r="F612" i="5"/>
  <c r="H1165" i="5"/>
  <c r="F1165" i="5"/>
  <c r="F539" i="5"/>
  <c r="I539" i="5"/>
  <c r="J782" i="5"/>
  <c r="R376" i="5"/>
  <c r="F376" i="5"/>
  <c r="R301" i="5"/>
  <c r="F301" i="5"/>
  <c r="F594" i="5"/>
  <c r="S1305" i="5"/>
  <c r="AB1743" i="5"/>
  <c r="S1743" i="5"/>
  <c r="AB1802" i="5"/>
  <c r="F1909" i="5"/>
  <c r="R1909" i="5"/>
  <c r="H1909" i="5"/>
  <c r="R2458" i="5"/>
  <c r="I2458" i="5"/>
  <c r="AB30" i="5"/>
  <c r="AB126"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4"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X59" i="5"/>
  <c r="R265"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X25" i="5"/>
  <c r="R97" i="5"/>
  <c r="X79" i="5"/>
  <c r="X47" i="5"/>
  <c r="R127" i="5"/>
  <c r="X127" i="5"/>
  <c r="AB895" i="5"/>
  <c r="S895" i="5"/>
  <c r="AB1863" i="5"/>
  <c r="S1863" i="5"/>
  <c r="R54" i="5"/>
  <c r="R74" i="5"/>
  <c r="R189" i="5"/>
  <c r="AB210" i="5"/>
  <c r="R225" i="5"/>
  <c r="F225" i="5"/>
  <c r="F309" i="5"/>
  <c r="F357" i="5"/>
  <c r="R463" i="5"/>
  <c r="F586" i="5"/>
  <c r="I714" i="5"/>
  <c r="J714" i="5"/>
  <c r="S738" i="5"/>
  <c r="AB170" i="5"/>
  <c r="H452" i="5"/>
  <c r="F452" i="5"/>
  <c r="S1497" i="5"/>
  <c r="X26" i="5"/>
  <c r="X63" i="5"/>
  <c r="R237" i="5"/>
  <c r="F237" i="5"/>
  <c r="J262" i="5"/>
  <c r="AB262" i="5"/>
  <c r="AB298" i="5"/>
  <c r="F451" i="5"/>
  <c r="R453" i="5"/>
  <c r="J453" i="5"/>
  <c r="H453" i="5"/>
  <c r="F453" i="5"/>
  <c r="X107" i="5"/>
  <c r="R125" i="5"/>
  <c r="AB1447" i="5"/>
  <c r="S1447" i="5"/>
  <c r="R22" i="5"/>
  <c r="R90" i="5"/>
  <c r="AB114" i="5"/>
  <c r="R123" i="5"/>
  <c r="X187" i="5"/>
  <c r="R187" i="5"/>
  <c r="I275" i="5"/>
  <c r="F275" i="5"/>
  <c r="I361" i="5"/>
  <c r="J361" i="5"/>
  <c r="H361" i="5"/>
  <c r="F361" i="5"/>
  <c r="I479" i="5"/>
  <c r="H479" i="5"/>
  <c r="F574" i="5"/>
  <c r="S641" i="5"/>
  <c r="R59" i="5"/>
  <c r="R171" i="5"/>
  <c r="I194" i="5"/>
  <c r="F468" i="5"/>
  <c r="R562" i="5"/>
  <c r="I1848" i="5"/>
  <c r="H1848" i="5"/>
  <c r="AB166" i="5"/>
  <c r="I198" i="5"/>
  <c r="H198" i="5"/>
  <c r="R201" i="5"/>
  <c r="R245" i="5"/>
  <c r="I461" i="5"/>
  <c r="F461" i="5"/>
  <c r="J552" i="5"/>
  <c r="H552" i="5"/>
  <c r="AB178" i="5"/>
  <c r="R299" i="5"/>
  <c r="J299" i="5"/>
  <c r="I392" i="5"/>
  <c r="H392" i="5"/>
  <c r="AB110" i="5"/>
  <c r="R30"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R604" i="5"/>
  <c r="R644" i="5"/>
  <c r="I722" i="5"/>
  <c r="J722" i="5"/>
  <c r="F788" i="5"/>
  <c r="R851" i="5"/>
  <c r="AB851" i="5"/>
  <c r="S916" i="5"/>
  <c r="S979" i="5"/>
  <c r="AB982" i="5"/>
  <c r="F986" i="5"/>
  <c r="H986" i="5"/>
  <c r="AB1026" i="5"/>
  <c r="S1026" i="5"/>
  <c r="F1086" i="5"/>
  <c r="AB1086" i="5"/>
  <c r="AB132"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X175" i="5"/>
  <c r="I255" i="5"/>
  <c r="R616" i="5"/>
  <c r="S639" i="5"/>
  <c r="S649" i="5"/>
  <c r="R685" i="5"/>
  <c r="H685" i="5"/>
  <c r="S733" i="5"/>
  <c r="F768" i="5"/>
  <c r="F786" i="5"/>
  <c r="AB836" i="5"/>
  <c r="S911" i="5"/>
  <c r="S927" i="5"/>
  <c r="S938" i="5"/>
  <c r="S976" i="5"/>
  <c r="AB1014" i="5"/>
  <c r="S1014" i="5"/>
  <c r="H1075" i="5"/>
  <c r="F1075" i="5"/>
  <c r="F1083" i="5"/>
  <c r="H1083" i="5"/>
  <c r="AB207" i="5"/>
  <c r="AB215" i="5"/>
  <c r="J263" i="5"/>
  <c r="AB282" i="5"/>
  <c r="AB356" i="5"/>
  <c r="AB451" i="5"/>
  <c r="F480" i="5"/>
  <c r="S711" i="5"/>
  <c r="S756" i="5"/>
  <c r="I786" i="5"/>
  <c r="S823" i="5"/>
  <c r="H840" i="5"/>
  <c r="F840" i="5"/>
  <c r="S859" i="5"/>
  <c r="AB869" i="5"/>
  <c r="F869" i="5"/>
  <c r="AB948" i="5"/>
  <c r="S948" i="5"/>
  <c r="F1011" i="5"/>
  <c r="AB567" i="5"/>
  <c r="R656" i="5"/>
  <c r="S690" i="5"/>
  <c r="R796" i="5"/>
  <c r="I796" i="5"/>
  <c r="F796" i="5"/>
  <c r="AB122" i="5"/>
  <c r="AB174" i="5"/>
  <c r="AB219" i="5"/>
  <c r="AB239"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X61" i="5"/>
  <c r="R73" i="5"/>
  <c r="X73" i="5"/>
  <c r="R133" i="5"/>
  <c r="H195" i="5"/>
  <c r="F195" i="5"/>
  <c r="X195" i="5"/>
  <c r="R195" i="5"/>
  <c r="I195" i="5"/>
  <c r="J195" i="5"/>
  <c r="R67" i="5"/>
  <c r="X67" i="5"/>
  <c r="R19" i="5"/>
  <c r="X19" i="5"/>
  <c r="X35" i="5"/>
  <c r="R35" i="5"/>
  <c r="R139" i="5"/>
  <c r="X139" i="5"/>
  <c r="F193" i="5"/>
  <c r="H227" i="5"/>
  <c r="R227" i="5"/>
  <c r="F227" i="5"/>
  <c r="J227" i="5"/>
  <c r="I227" i="5"/>
  <c r="R41" i="5"/>
  <c r="X41" i="5"/>
  <c r="X143" i="5"/>
  <c r="R177" i="5"/>
  <c r="X183" i="5"/>
  <c r="R183" i="5"/>
  <c r="R241" i="5"/>
  <c r="F241" i="5"/>
  <c r="H247" i="5"/>
  <c r="I247" i="5"/>
  <c r="F247" i="5"/>
  <c r="R247" i="5"/>
  <c r="J247" i="5"/>
  <c r="H259" i="5"/>
  <c r="R259" i="5"/>
  <c r="J259" i="5"/>
  <c r="I259" i="5"/>
  <c r="F259" i="5"/>
  <c r="R173" i="5"/>
  <c r="R93" i="5"/>
  <c r="R99" i="5"/>
  <c r="X99" i="5"/>
  <c r="X135" i="5"/>
  <c r="X159" i="5"/>
  <c r="R159" i="5"/>
  <c r="I373" i="5"/>
  <c r="R373" i="5"/>
  <c r="J373" i="5"/>
  <c r="H373" i="5"/>
  <c r="F373" i="5"/>
  <c r="X27" i="5"/>
  <c r="R27" i="5"/>
  <c r="R83" i="5"/>
  <c r="X83" i="5"/>
  <c r="R51" i="5"/>
  <c r="X51" i="5"/>
  <c r="R77" i="5"/>
  <c r="X77" i="5"/>
  <c r="R89" i="5"/>
  <c r="X89" i="5"/>
  <c r="H199" i="5"/>
  <c r="R199" i="5"/>
  <c r="J199" i="5"/>
  <c r="I199" i="5"/>
  <c r="F199" i="5"/>
  <c r="X131" i="5"/>
  <c r="R131" i="5"/>
  <c r="R57" i="5"/>
  <c r="X57" i="5"/>
  <c r="R105" i="5"/>
  <c r="X105" i="5"/>
  <c r="X119" i="5"/>
  <c r="R119" i="5"/>
  <c r="R197" i="5"/>
  <c r="F197" i="5"/>
  <c r="H223" i="5"/>
  <c r="R223" i="5"/>
  <c r="J223" i="5"/>
  <c r="F223" i="5"/>
  <c r="I223" i="5"/>
  <c r="R229" i="5"/>
  <c r="F229" i="5"/>
  <c r="R337" i="5"/>
  <c r="J337" i="5"/>
  <c r="H337" i="5"/>
  <c r="F337" i="5"/>
  <c r="X31" i="5"/>
  <c r="R113" i="5"/>
  <c r="X155" i="5"/>
  <c r="H203" i="5"/>
  <c r="R203" i="5"/>
  <c r="J203" i="5"/>
  <c r="I203" i="5"/>
  <c r="F203" i="5"/>
  <c r="R249" i="5"/>
  <c r="F249" i="5"/>
  <c r="R39" i="5"/>
  <c r="R55" i="5"/>
  <c r="AB140" i="5"/>
  <c r="AB156" i="5"/>
  <c r="AB160"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R42" i="5"/>
  <c r="X45" i="5"/>
  <c r="X55" i="5"/>
  <c r="AB118" i="5"/>
  <c r="AB130" i="5"/>
  <c r="X179"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H219" i="5"/>
  <c r="I219" i="5"/>
  <c r="AB290" i="5"/>
  <c r="I349" i="5"/>
  <c r="J349" i="5"/>
  <c r="H349" i="5"/>
  <c r="F349" i="5"/>
  <c r="I381" i="5"/>
  <c r="J381" i="5"/>
  <c r="H381" i="5"/>
  <c r="F381" i="5"/>
  <c r="I408" i="5"/>
  <c r="H408" i="5"/>
  <c r="F408" i="5"/>
  <c r="I425" i="5"/>
  <c r="J425" i="5"/>
  <c r="H425" i="5"/>
  <c r="F425" i="5"/>
  <c r="R58" i="5"/>
  <c r="X23" i="5"/>
  <c r="AB26" i="5"/>
  <c r="X39" i="5"/>
  <c r="AB22" i="5"/>
  <c r="R25" i="5"/>
  <c r="R47" i="5"/>
  <c r="R63" i="5"/>
  <c r="R79" i="5"/>
  <c r="R95" i="5"/>
  <c r="AB108" i="5"/>
  <c r="X111" i="5"/>
  <c r="AB124" i="5"/>
  <c r="AB128" i="5"/>
  <c r="AB146" i="5"/>
  <c r="R147" i="5"/>
  <c r="X167" i="5"/>
  <c r="AB172"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AB134" i="5"/>
  <c r="AB142"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X33" i="5"/>
  <c r="X49" i="5"/>
  <c r="X65" i="5"/>
  <c r="X81" i="5"/>
  <c r="AB138" i="5"/>
  <c r="AB154" i="5"/>
  <c r="AB158"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AB32" i="5"/>
  <c r="X53" i="5"/>
  <c r="X69" i="5"/>
  <c r="X85" i="5"/>
  <c r="X95" i="5"/>
  <c r="R145" i="5"/>
  <c r="X147" i="5"/>
  <c r="AB162" i="5"/>
  <c r="R165"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X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F19" i="6"/>
  <c r="AB23" i="5"/>
  <c r="X28" i="5"/>
  <c r="AB115" i="5"/>
  <c r="AB179" i="5"/>
  <c r="AB201" i="5"/>
  <c r="H234" i="5"/>
  <c r="F234" i="5"/>
  <c r="R234" i="5"/>
  <c r="J234" i="5"/>
  <c r="I234" i="5"/>
  <c r="H254" i="5"/>
  <c r="F254" i="5"/>
  <c r="X254" i="5"/>
  <c r="R254" i="5"/>
  <c r="J254" i="5"/>
  <c r="I254" i="5"/>
  <c r="H286" i="5"/>
  <c r="F286" i="5"/>
  <c r="R286" i="5"/>
  <c r="J286" i="5"/>
  <c r="I286" i="5"/>
  <c r="AB320" i="5"/>
  <c r="AB412" i="5"/>
  <c r="AB105" i="5"/>
  <c r="R114" i="5"/>
  <c r="AB137" i="5"/>
  <c r="AB147" i="5"/>
  <c r="AB169" i="5"/>
  <c r="R178" i="5"/>
  <c r="J209" i="5"/>
  <c r="I209" i="5"/>
  <c r="H209" i="5"/>
  <c r="AB240" i="5"/>
  <c r="H270" i="5"/>
  <c r="F270" i="5"/>
  <c r="R270" i="5"/>
  <c r="J270" i="5"/>
  <c r="I270" i="5"/>
  <c r="R311" i="5"/>
  <c r="H311" i="5"/>
  <c r="I311" i="5"/>
  <c r="F311" i="5"/>
  <c r="J311" i="5"/>
  <c r="R5" i="5"/>
  <c r="AB20" i="5"/>
  <c r="R21" i="5"/>
  <c r="AB28" i="5"/>
  <c r="R29" i="5"/>
  <c r="AB34" i="5"/>
  <c r="AB38" i="5"/>
  <c r="AB42" i="5"/>
  <c r="AB46" i="5"/>
  <c r="AB50" i="5"/>
  <c r="AB54" i="5"/>
  <c r="AB58" i="5"/>
  <c r="AB62" i="5"/>
  <c r="AB66" i="5"/>
  <c r="AB70" i="5"/>
  <c r="AB74" i="5"/>
  <c r="AB78" i="5"/>
  <c r="AB82" i="5"/>
  <c r="AB86" i="5"/>
  <c r="AB90" i="5"/>
  <c r="AB94" i="5"/>
  <c r="AB98" i="5"/>
  <c r="AB104" i="5"/>
  <c r="AB117" i="5"/>
  <c r="R126" i="5"/>
  <c r="AB127" i="5"/>
  <c r="AB136" i="5"/>
  <c r="AB149" i="5"/>
  <c r="R158" i="5"/>
  <c r="AB159" i="5"/>
  <c r="AB168" i="5"/>
  <c r="AB181" i="5"/>
  <c r="R190" i="5"/>
  <c r="AB191" i="5"/>
  <c r="J193" i="5"/>
  <c r="I193" i="5"/>
  <c r="H193" i="5"/>
  <c r="AB200" i="5"/>
  <c r="F218" i="5"/>
  <c r="R218" i="5"/>
  <c r="J218" i="5"/>
  <c r="I218" i="5"/>
  <c r="AB220" i="5"/>
  <c r="H238" i="5"/>
  <c r="F238" i="5"/>
  <c r="R238" i="5"/>
  <c r="J238" i="5"/>
  <c r="I238" i="5"/>
  <c r="AB244" i="5"/>
  <c r="AB260" i="5"/>
  <c r="AB276" i="5"/>
  <c r="AB292" i="5"/>
  <c r="AB5" i="5"/>
  <c r="AB21" i="5"/>
  <c r="AB29" i="5"/>
  <c r="AB35" i="5"/>
  <c r="AB39" i="5"/>
  <c r="AB43" i="5"/>
  <c r="AB47" i="5"/>
  <c r="AB51" i="5"/>
  <c r="AB55" i="5"/>
  <c r="AB59" i="5"/>
  <c r="AB63" i="5"/>
  <c r="AB67" i="5"/>
  <c r="AB71" i="5"/>
  <c r="AB75" i="5"/>
  <c r="AB79" i="5"/>
  <c r="AB83" i="5"/>
  <c r="AB87" i="5"/>
  <c r="AB91" i="5"/>
  <c r="AB95" i="5"/>
  <c r="AB99" i="5"/>
  <c r="R106" i="5"/>
  <c r="AB107" i="5"/>
  <c r="AB116" i="5"/>
  <c r="AB129" i="5"/>
  <c r="R138" i="5"/>
  <c r="AB139" i="5"/>
  <c r="AB148" i="5"/>
  <c r="AB161" i="5"/>
  <c r="R170" i="5"/>
  <c r="AB171"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R274" i="5"/>
  <c r="J274" i="5"/>
  <c r="I274" i="5"/>
  <c r="R323" i="5"/>
  <c r="H323" i="5"/>
  <c r="J323" i="5"/>
  <c r="I323" i="5"/>
  <c r="F323" i="5"/>
  <c r="AB360" i="5"/>
  <c r="R371" i="5"/>
  <c r="J371" i="5"/>
  <c r="H371" i="5"/>
  <c r="I371" i="5"/>
  <c r="F371" i="5"/>
  <c r="R383" i="5"/>
  <c r="J383" i="5"/>
  <c r="H383" i="5"/>
  <c r="I383" i="5"/>
  <c r="F383" i="5"/>
  <c r="AB119" i="5"/>
  <c r="AB151" i="5"/>
  <c r="AB173" i="5"/>
  <c r="R182" i="5"/>
  <c r="AB183" i="5"/>
  <c r="AB205" i="5"/>
  <c r="AB212" i="5"/>
  <c r="AB248" i="5"/>
  <c r="AB264" i="5"/>
  <c r="AB280" i="5"/>
  <c r="AB296" i="5"/>
  <c r="R319" i="5"/>
  <c r="H319" i="5"/>
  <c r="I319" i="5"/>
  <c r="F319" i="5"/>
  <c r="J319" i="5"/>
  <c r="AB328" i="5"/>
  <c r="R351" i="5"/>
  <c r="J351" i="5"/>
  <c r="H351" i="5"/>
  <c r="I351" i="5"/>
  <c r="F351" i="5"/>
  <c r="AB358" i="5"/>
  <c r="R118" i="5"/>
  <c r="X5" i="5"/>
  <c r="AB121" i="5"/>
  <c r="R130" i="5"/>
  <c r="AB131" i="5"/>
  <c r="AB153" i="5"/>
  <c r="AB163" i="5"/>
  <c r="AB185" i="5"/>
  <c r="AB195" i="5"/>
  <c r="J197" i="5"/>
  <c r="I197" i="5"/>
  <c r="H197" i="5"/>
  <c r="F206" i="5"/>
  <c r="R206" i="5"/>
  <c r="J206" i="5"/>
  <c r="I206" i="5"/>
  <c r="R213" i="5"/>
  <c r="J213" i="5"/>
  <c r="I213" i="5"/>
  <c r="H213" i="5"/>
  <c r="F222" i="5"/>
  <c r="R222" i="5"/>
  <c r="J222" i="5"/>
  <c r="I222" i="5"/>
  <c r="AB224" i="5"/>
  <c r="H246" i="5"/>
  <c r="F246" i="5"/>
  <c r="R246" i="5"/>
  <c r="J246" i="5"/>
  <c r="I246" i="5"/>
  <c r="H278" i="5"/>
  <c r="F278" i="5"/>
  <c r="R278" i="5"/>
  <c r="J278" i="5"/>
  <c r="I278" i="5"/>
  <c r="H294" i="5"/>
  <c r="F294" i="5"/>
  <c r="R294" i="5"/>
  <c r="J294" i="5"/>
  <c r="I294" i="5"/>
  <c r="R307" i="5"/>
  <c r="H307" i="5"/>
  <c r="J307" i="5"/>
  <c r="I307" i="5"/>
  <c r="F307" i="5"/>
  <c r="AB408" i="5"/>
  <c r="AB109" i="5"/>
  <c r="AB141" i="5"/>
  <c r="R150" i="5"/>
  <c r="AB19" i="5"/>
  <c r="AB27" i="5"/>
  <c r="X29" i="5"/>
  <c r="X24" i="5"/>
  <c r="R28" i="5"/>
  <c r="X32" i="5"/>
  <c r="AB36" i="5"/>
  <c r="AB40" i="5"/>
  <c r="AB44" i="5"/>
  <c r="AB48" i="5"/>
  <c r="AB52" i="5"/>
  <c r="AB56" i="5"/>
  <c r="AB60" i="5"/>
  <c r="AB64" i="5"/>
  <c r="AB68" i="5"/>
  <c r="AB72" i="5"/>
  <c r="AB76" i="5"/>
  <c r="AB80" i="5"/>
  <c r="AB84" i="5"/>
  <c r="AB88" i="5"/>
  <c r="AB92" i="5"/>
  <c r="AB96" i="5"/>
  <c r="AB100" i="5"/>
  <c r="AB101" i="5"/>
  <c r="AB111" i="5"/>
  <c r="AB120" i="5"/>
  <c r="AB133" i="5"/>
  <c r="R142" i="5"/>
  <c r="AB143" i="5"/>
  <c r="AB152" i="5"/>
  <c r="AB165" i="5"/>
  <c r="AB175" i="5"/>
  <c r="AB184" i="5"/>
  <c r="AB197" i="5"/>
  <c r="H202" i="5"/>
  <c r="AB208" i="5"/>
  <c r="F209" i="5"/>
  <c r="H210" i="5"/>
  <c r="AB228" i="5"/>
  <c r="AB252" i="5"/>
  <c r="AB268" i="5"/>
  <c r="AB284" i="5"/>
  <c r="AB300" i="5"/>
  <c r="AB303" i="5"/>
  <c r="AB312" i="5"/>
  <c r="R331" i="5"/>
  <c r="H331" i="5"/>
  <c r="J331" i="5"/>
  <c r="I331" i="5"/>
  <c r="F331" i="5"/>
  <c r="J384" i="5"/>
  <c r="R384" i="5"/>
  <c r="I384" i="5"/>
  <c r="H384" i="5"/>
  <c r="F384" i="5"/>
  <c r="AB402" i="5"/>
  <c r="AB31" i="5"/>
  <c r="AB25" i="5"/>
  <c r="AB37" i="5"/>
  <c r="AB45" i="5"/>
  <c r="AB53" i="5"/>
  <c r="AB57" i="5"/>
  <c r="AB61" i="5"/>
  <c r="AB65" i="5"/>
  <c r="AB69" i="5"/>
  <c r="AB73" i="5"/>
  <c r="AB81" i="5"/>
  <c r="AB89" i="5"/>
  <c r="AB113" i="5"/>
  <c r="R117" i="5"/>
  <c r="AB123" i="5"/>
  <c r="AB145" i="5"/>
  <c r="R149" i="5"/>
  <c r="R154" i="5"/>
  <c r="AB155" i="5"/>
  <c r="AB177" i="5"/>
  <c r="R181" i="5"/>
  <c r="R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X470" i="5"/>
  <c r="R470" i="5"/>
  <c r="J470" i="5"/>
  <c r="I494" i="5"/>
  <c r="H494" i="5"/>
  <c r="R494" i="5"/>
  <c r="J494" i="5"/>
  <c r="F494" i="5"/>
  <c r="AB33" i="5"/>
  <c r="AB41" i="5"/>
  <c r="AB49" i="5"/>
  <c r="AB77" i="5"/>
  <c r="AB85" i="5"/>
  <c r="AB93" i="5"/>
  <c r="AB97" i="5"/>
  <c r="R122" i="5"/>
  <c r="R18" i="5"/>
  <c r="R23" i="5"/>
  <c r="R26" i="5"/>
  <c r="X30" i="5"/>
  <c r="R31" i="5"/>
  <c r="X36" i="5"/>
  <c r="X40" i="5"/>
  <c r="X52" i="5"/>
  <c r="X56" i="5"/>
  <c r="X60" i="5"/>
  <c r="X64" i="5"/>
  <c r="X68" i="5"/>
  <c r="X72" i="5"/>
  <c r="X80" i="5"/>
  <c r="X84" i="5"/>
  <c r="X88" i="5"/>
  <c r="X101" i="5"/>
  <c r="R102" i="5"/>
  <c r="AB103" i="5"/>
  <c r="AB112" i="5"/>
  <c r="AB125" i="5"/>
  <c r="R134" i="5"/>
  <c r="AB135" i="5"/>
  <c r="AB144" i="5"/>
  <c r="AB157" i="5"/>
  <c r="R161" i="5"/>
  <c r="R166" i="5"/>
  <c r="AB167" i="5"/>
  <c r="AB176" i="5"/>
  <c r="AB189" i="5"/>
  <c r="R193"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X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X64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X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X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X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X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X998"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X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X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X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X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X1522"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X1414"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X1890"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D14" i="6"/>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X2382" i="5"/>
  <c r="F2390" i="5"/>
  <c r="AB2432" i="5"/>
  <c r="F2456" i="5"/>
  <c r="H2482" i="5"/>
  <c r="I2482" i="5"/>
  <c r="F2482" i="5"/>
  <c r="X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F2442" i="5"/>
  <c r="J2442" i="5"/>
  <c r="I2442" i="5"/>
  <c r="H2442" i="5"/>
  <c r="AB2460" i="5"/>
  <c r="F2497" i="5"/>
  <c r="R2497" i="5"/>
  <c r="J2497" i="5"/>
  <c r="I2497" i="5"/>
  <c r="H2497" i="5"/>
  <c r="S2501" i="5"/>
  <c r="F64" i="6"/>
  <c r="G5" i="6"/>
  <c r="H5" i="6"/>
  <c r="H6" i="6"/>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AB2458" i="5"/>
  <c r="F2466" i="5"/>
  <c r="X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D4" i="6"/>
  <c r="F2481" i="5"/>
  <c r="R2492" i="5"/>
  <c r="J2492" i="5"/>
  <c r="S2504" i="5"/>
  <c r="S2477" i="5"/>
  <c r="AB2482" i="5"/>
  <c r="B21" i="6"/>
  <c r="B51" i="6"/>
  <c r="G51" i="6"/>
  <c r="G16" i="6"/>
  <c r="H16" i="6"/>
  <c r="B19" i="6"/>
  <c r="A38" i="2"/>
  <c r="J4" i="5"/>
  <c r="B41" i="4"/>
  <c r="A27" i="6" s="1"/>
  <c r="A55" i="2"/>
  <c r="A73" i="2"/>
  <c r="B9" i="3"/>
  <c r="A3" i="2"/>
  <c r="A20" i="2"/>
  <c r="B17" i="3"/>
  <c r="B29" i="4"/>
  <c r="B25" i="3"/>
  <c r="C20" i="3"/>
  <c r="A75" i="2"/>
  <c r="C25" i="3"/>
  <c r="N4" i="5"/>
  <c r="A43" i="2"/>
  <c r="C3" i="3"/>
  <c r="C19" i="3"/>
  <c r="B31" i="4"/>
  <c r="A18" i="6" s="1"/>
  <c r="P4" i="5"/>
  <c r="A45" i="2"/>
  <c r="C4" i="3"/>
  <c r="B26" i="4"/>
  <c r="A12" i="2"/>
  <c r="A29" i="2"/>
  <c r="A46" i="2"/>
  <c r="A63" i="2"/>
  <c r="B5" i="3"/>
  <c r="B13" i="3"/>
  <c r="B21" i="3"/>
  <c r="B29" i="3"/>
  <c r="B9" i="4"/>
  <c r="A5" i="6" s="1"/>
  <c r="B39" i="4"/>
  <c r="B63" i="4" s="1"/>
  <c r="A4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43" i="4" s="1"/>
  <c r="B83" i="4"/>
  <c r="A59" i="6" s="1"/>
  <c r="A17" i="2"/>
  <c r="A34" i="2"/>
  <c r="A52" i="2"/>
  <c r="A70" i="2"/>
  <c r="C7" i="3"/>
  <c r="C15" i="3"/>
  <c r="C23" i="3"/>
  <c r="C31" i="3"/>
  <c r="B15" i="4"/>
  <c r="A7" i="6" s="1"/>
  <c r="B28" i="4"/>
  <c r="A16" i="6" s="1"/>
  <c r="B40" i="4"/>
  <c r="F4" i="5"/>
  <c r="A2" i="2"/>
  <c r="A19" i="2"/>
  <c r="A37" i="2"/>
  <c r="A54" i="2"/>
  <c r="A72" i="2"/>
  <c r="C8" i="3"/>
  <c r="C16" i="3"/>
  <c r="C24" i="3"/>
  <c r="D2" i="4"/>
  <c r="B17" i="4"/>
  <c r="A9" i="6" s="1"/>
  <c r="H4" i="5"/>
  <c r="J14" i="6"/>
  <c r="J15" i="6"/>
  <c r="J16" i="6"/>
  <c r="J17" i="6"/>
  <c r="J25" i="6"/>
  <c r="I26" i="6"/>
  <c r="C26" i="6" s="1"/>
  <c r="J37" i="6"/>
  <c r="J45" i="6"/>
  <c r="I46" i="6"/>
  <c r="C46" i="6" s="1"/>
  <c r="I54" i="6"/>
  <c r="J63" i="6"/>
  <c r="J64" i="6"/>
  <c r="J66" i="6"/>
  <c r="I67" i="6"/>
  <c r="A1" i="8"/>
  <c r="I19" i="6"/>
  <c r="C19" i="6" s="1"/>
  <c r="J26" i="6"/>
  <c r="I27" i="6"/>
  <c r="C27" i="6" s="1"/>
  <c r="I39" i="6"/>
  <c r="C39" i="6" s="1"/>
  <c r="J46" i="6"/>
  <c r="I47" i="6"/>
  <c r="C47" i="6" s="1"/>
  <c r="J54" i="6"/>
  <c r="I55" i="6"/>
  <c r="C55" i="6" s="1"/>
  <c r="I56" i="6"/>
  <c r="C56" i="6" s="1"/>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I20" i="6"/>
  <c r="C20" i="6" s="1"/>
  <c r="J27" i="6"/>
  <c r="I29" i="6"/>
  <c r="C29" i="6" s="1"/>
  <c r="I30" i="6"/>
  <c r="C30" i="6" s="1"/>
  <c r="I31" i="6"/>
  <c r="C31" i="6" s="1"/>
  <c r="I32" i="6"/>
  <c r="C32" i="6" s="1"/>
  <c r="J39" i="6"/>
  <c r="I40" i="6"/>
  <c r="C40" i="6" s="1"/>
  <c r="J47" i="6"/>
  <c r="J55" i="6"/>
  <c r="J56" i="6"/>
  <c r="I57" i="6"/>
  <c r="C57" i="6" s="1"/>
  <c r="L66" i="6"/>
  <c r="J68" i="6"/>
  <c r="B4" i="8"/>
  <c r="A6" i="2"/>
  <c r="A14" i="2"/>
  <c r="A31" i="2"/>
  <c r="A57" i="2"/>
  <c r="B18" i="3"/>
  <c r="A7" i="2"/>
  <c r="A24" i="2"/>
  <c r="A41" i="2"/>
  <c r="A58" i="2"/>
  <c r="C2" i="3"/>
  <c r="C10" i="3"/>
  <c r="C18" i="3"/>
  <c r="C26" i="3"/>
  <c r="B13" i="4"/>
  <c r="B21" i="4"/>
  <c r="B38" i="4"/>
  <c r="B62" i="4" s="1"/>
  <c r="A44"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C21" i="6" s="1"/>
  <c r="J29" i="6"/>
  <c r="J30" i="6"/>
  <c r="J31" i="6"/>
  <c r="J32" i="6"/>
  <c r="J40" i="6"/>
  <c r="I41" i="6"/>
  <c r="I49" i="6"/>
  <c r="C49" i="6" s="1"/>
  <c r="J57" i="6"/>
  <c r="I58" i="6"/>
  <c r="C58" i="6" s="1"/>
  <c r="L67" i="6"/>
  <c r="A1" i="7"/>
  <c r="D4" i="8"/>
  <c r="C3" i="6"/>
  <c r="I4" i="6"/>
  <c r="C4" i="6" s="1"/>
  <c r="I5" i="6"/>
  <c r="C5" i="6" s="1"/>
  <c r="J21" i="6"/>
  <c r="I22" i="6"/>
  <c r="C22" i="6" s="1"/>
  <c r="I34" i="6"/>
  <c r="C34" i="6" s="1"/>
  <c r="J41" i="6"/>
  <c r="I42" i="6"/>
  <c r="C42" i="6" s="1"/>
  <c r="J49" i="6"/>
  <c r="I50" i="6"/>
  <c r="C50" i="6" s="1"/>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C6" i="6" s="1"/>
  <c r="I7" i="6"/>
  <c r="C7" i="6" s="1"/>
  <c r="I8" i="6"/>
  <c r="C8" i="6" s="1"/>
  <c r="I9" i="6"/>
  <c r="C9" i="6" s="1"/>
  <c r="I10" i="6"/>
  <c r="C10" i="6" s="1"/>
  <c r="I11" i="6"/>
  <c r="C11" i="6" s="1"/>
  <c r="I12" i="6"/>
  <c r="C12" i="6" s="1"/>
  <c r="J22" i="6"/>
  <c r="J34" i="6"/>
  <c r="I35" i="6"/>
  <c r="C35" i="6" s="1"/>
  <c r="J42" i="6"/>
  <c r="J50" i="6"/>
  <c r="I51" i="6"/>
  <c r="C51" i="6" s="1"/>
  <c r="J59" i="6"/>
  <c r="I60" i="6"/>
  <c r="C60" i="6" s="1"/>
  <c r="C5" i="7"/>
  <c r="D1" i="6"/>
  <c r="J6" i="6"/>
  <c r="J7" i="6"/>
  <c r="J8" i="6"/>
  <c r="J9" i="6"/>
  <c r="J10" i="6"/>
  <c r="J11" i="6"/>
  <c r="J12" i="6"/>
  <c r="I24" i="6"/>
  <c r="C24" i="6" s="1"/>
  <c r="J35" i="6"/>
  <c r="I36" i="6"/>
  <c r="C36" i="6" s="1"/>
  <c r="I44" i="6"/>
  <c r="C44" i="6" s="1"/>
  <c r="J51" i="6"/>
  <c r="I52" i="6"/>
  <c r="C52" i="6" s="1"/>
  <c r="J60" i="6"/>
  <c r="I62" i="6"/>
  <c r="C62" i="6" s="1"/>
  <c r="I65" i="6"/>
  <c r="D5" i="7"/>
  <c r="B10" i="4"/>
  <c r="A6" i="6" s="1"/>
  <c r="B18" i="4"/>
  <c r="A10" i="6" s="1"/>
  <c r="G25" i="4"/>
  <c r="G55" i="4" s="1"/>
  <c r="B44" i="4"/>
  <c r="A29" i="6" s="1"/>
  <c r="B49" i="4"/>
  <c r="A33" i="6" s="1"/>
  <c r="B85" i="4"/>
  <c r="A60" i="6" s="1"/>
  <c r="A4" i="5"/>
  <c r="I4" i="5"/>
  <c r="I14" i="6"/>
  <c r="C14" i="6" s="1"/>
  <c r="I15" i="6"/>
  <c r="C15" i="6" s="1"/>
  <c r="I16" i="6"/>
  <c r="C16" i="6" s="1"/>
  <c r="I17" i="6"/>
  <c r="C17" i="6" s="1"/>
  <c r="J24" i="6"/>
  <c r="I25" i="6"/>
  <c r="J36" i="6"/>
  <c r="I37" i="6"/>
  <c r="C37" i="6" s="1"/>
  <c r="J44" i="6"/>
  <c r="I45" i="6"/>
  <c r="C45" i="6" s="1"/>
  <c r="J52" i="6"/>
  <c r="J62" i="6"/>
  <c r="I63" i="6"/>
  <c r="C63" i="6" s="1"/>
  <c r="I64" i="6"/>
  <c r="J65" i="6"/>
  <c r="I66" i="6"/>
  <c r="B60" i="1"/>
  <c r="F4" i="8"/>
  <c r="H4" i="8"/>
  <c r="I4" i="8"/>
  <c r="C4" i="8"/>
  <c r="S491" i="5"/>
  <c r="S511" i="5"/>
  <c r="S193" i="5"/>
  <c r="S203" i="5"/>
  <c r="S247" i="5"/>
  <c r="S344" i="5"/>
  <c r="S397" i="5"/>
  <c r="S401" i="5"/>
  <c r="S409" i="5"/>
  <c r="S372" i="5"/>
  <c r="S437" i="5"/>
  <c r="S428" i="5"/>
  <c r="S452" i="5"/>
  <c r="S548" i="5"/>
  <c r="S377" i="5"/>
  <c r="S349" i="5"/>
  <c r="S539" i="5"/>
  <c r="S361" i="5"/>
  <c r="S219" i="5"/>
  <c r="S295" i="5"/>
  <c r="S417" i="5"/>
  <c r="S432" i="5"/>
  <c r="S560" i="5"/>
  <c r="S510" i="5"/>
  <c r="S341" i="5"/>
  <c r="S113" i="5"/>
  <c r="S267" i="5"/>
  <c r="S275" i="5"/>
  <c r="S388" i="5"/>
  <c r="S429" i="5"/>
  <c r="S449" i="5"/>
  <c r="S457" i="5"/>
  <c r="S436" i="5"/>
  <c r="S229" i="5"/>
  <c r="S237" i="5"/>
  <c r="S225" i="5"/>
  <c r="S119" i="5"/>
  <c r="S195" i="5"/>
  <c r="S223" i="5"/>
  <c r="S259" i="5"/>
  <c r="S416" i="5"/>
  <c r="S441" i="5"/>
  <c r="S572" i="5"/>
  <c r="S440" i="5"/>
  <c r="S568" i="5"/>
  <c r="S468" i="5"/>
  <c r="S257" i="5"/>
  <c r="S543" i="5"/>
  <c r="S408" i="5"/>
  <c r="S111" i="5"/>
  <c r="S197" i="5"/>
  <c r="S199" i="5"/>
  <c r="S352" i="5"/>
  <c r="S299" i="5"/>
  <c r="S389" i="5"/>
  <c r="S302" i="5"/>
  <c r="S404" i="5"/>
  <c r="S421" i="5"/>
  <c r="S464" i="5"/>
  <c r="S552" i="5"/>
  <c r="S586" i="5"/>
  <c r="S269" i="5"/>
  <c r="S479" i="5"/>
  <c r="S364" i="5"/>
  <c r="S304" i="5"/>
  <c r="S392" i="5"/>
  <c r="S348" i="5"/>
  <c r="S433" i="5"/>
  <c r="S444" i="5"/>
  <c r="S584" i="5"/>
  <c r="S235" i="5"/>
  <c r="S271" i="5"/>
  <c r="S291" i="5"/>
  <c r="S396" i="5"/>
  <c r="S400" i="5"/>
  <c r="S405" i="5"/>
  <c r="S413" i="5"/>
  <c r="S453" i="5"/>
  <c r="S420" i="5"/>
  <c r="S448" i="5"/>
  <c r="S210" i="5"/>
  <c r="S385" i="5"/>
  <c r="S227" i="5"/>
  <c r="S255" i="5"/>
  <c r="S263" i="5"/>
  <c r="S283" i="5"/>
  <c r="S393" i="5"/>
  <c r="S380" i="5"/>
  <c r="S425" i="5"/>
  <c r="S445" i="5"/>
  <c r="S424" i="5"/>
  <c r="S470" i="5"/>
  <c r="S461" i="5"/>
  <c r="S494" i="5"/>
  <c r="R2165" i="5"/>
  <c r="I1967" i="5"/>
  <c r="J2069" i="5"/>
  <c r="I2069" i="5"/>
  <c r="J1967" i="5"/>
  <c r="I987" i="5"/>
  <c r="H650" i="5"/>
  <c r="R2044" i="5"/>
  <c r="R1967" i="5"/>
  <c r="F290" i="5"/>
  <c r="H987" i="5"/>
  <c r="H1959" i="5"/>
  <c r="R987" i="5"/>
  <c r="R2069" i="5"/>
  <c r="I1959" i="5"/>
  <c r="X1272" i="5"/>
  <c r="H2069" i="5"/>
  <c r="J1959" i="5"/>
  <c r="R1959" i="5"/>
  <c r="X1198" i="5"/>
  <c r="I678" i="5"/>
  <c r="H678" i="5"/>
  <c r="J987" i="5"/>
  <c r="S606" i="5"/>
  <c r="S610" i="5"/>
  <c r="X322" i="5"/>
  <c r="X186" i="5"/>
  <c r="S598" i="5"/>
  <c r="X542" i="5"/>
  <c r="X37" i="5"/>
  <c r="X326" i="5"/>
  <c r="X310" i="5"/>
  <c r="X146" i="5"/>
  <c r="X558" i="5"/>
  <c r="X230" i="5"/>
  <c r="X21" i="5"/>
  <c r="X122" i="5"/>
  <c r="X546" i="5"/>
  <c r="S532" i="5"/>
  <c r="S356" i="5"/>
  <c r="X154" i="5"/>
  <c r="X214" i="5"/>
  <c r="X20" i="5"/>
  <c r="X70" i="5"/>
  <c r="X98" i="5"/>
  <c r="X134" i="5"/>
  <c r="X234" i="5"/>
  <c r="X174" i="5"/>
  <c r="X34" i="5"/>
  <c r="S343" i="5"/>
  <c r="X158" i="5"/>
  <c r="X114" i="5"/>
  <c r="X82" i="5"/>
  <c r="X78" i="5"/>
  <c r="X162" i="5"/>
  <c r="X38" i="5"/>
  <c r="X138" i="5"/>
  <c r="X142" i="5"/>
  <c r="X126" i="5"/>
  <c r="X86" i="5"/>
  <c r="X202" i="5"/>
  <c r="X46" i="5"/>
  <c r="S315" i="5"/>
  <c r="X96" i="5"/>
  <c r="X48" i="5"/>
  <c r="X22" i="5"/>
  <c r="X118" i="5"/>
  <c r="X54" i="5"/>
  <c r="X50" i="5"/>
  <c r="X66" i="5"/>
  <c r="X62" i="5"/>
  <c r="X357" i="5"/>
  <c r="S357" i="5"/>
  <c r="X90" i="5"/>
  <c r="X130" i="5"/>
  <c r="S383" i="5"/>
  <c r="X92" i="5"/>
  <c r="X76" i="5"/>
  <c r="X44" i="5"/>
  <c r="X250" i="5"/>
  <c r="X242" i="5"/>
  <c r="B32" i="6"/>
  <c r="J191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X6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J215" i="5"/>
  <c r="F2301" i="5"/>
  <c r="R1593" i="5"/>
  <c r="J1385" i="5"/>
  <c r="R2301" i="5"/>
  <c r="R1051" i="5"/>
  <c r="R1015" i="5"/>
  <c r="I1039" i="5"/>
  <c r="F1320" i="5"/>
  <c r="R852" i="5"/>
  <c r="F1947" i="5"/>
  <c r="H1947" i="5"/>
  <c r="I1381" i="5"/>
  <c r="J463" i="5"/>
  <c r="I1947" i="5"/>
  <c r="R1665" i="5"/>
  <c r="X1158"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X1434" i="5"/>
  <c r="F1051" i="5"/>
  <c r="F265" i="5"/>
  <c r="F672" i="5"/>
  <c r="R115"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X1900" i="5"/>
  <c r="J1725" i="5"/>
  <c r="H1716" i="5"/>
  <c r="F1403" i="5"/>
  <c r="I1095" i="5"/>
  <c r="X971" i="5"/>
  <c r="R808" i="5"/>
  <c r="J239" i="5"/>
  <c r="J2133" i="5"/>
  <c r="J2161" i="5"/>
  <c r="I1716" i="5"/>
  <c r="H1426" i="5"/>
  <c r="H1329" i="5"/>
  <c r="I608" i="5"/>
  <c r="F808" i="5"/>
  <c r="J314" i="5"/>
  <c r="H239" i="5"/>
  <c r="R2133" i="5"/>
  <c r="R2161" i="5"/>
  <c r="F1919" i="5"/>
  <c r="J1716" i="5"/>
  <c r="R1067" i="5"/>
  <c r="J1145" i="5"/>
  <c r="H883" i="5"/>
  <c r="H447" i="5"/>
  <c r="I808" i="5"/>
  <c r="H1900" i="5"/>
  <c r="I1919" i="5"/>
  <c r="R1716" i="5"/>
  <c r="H1684" i="5"/>
  <c r="R1285" i="5"/>
  <c r="F1308" i="5"/>
  <c r="F883" i="5"/>
  <c r="I1403" i="5"/>
  <c r="H1919" i="5"/>
  <c r="I1684" i="5"/>
  <c r="I1123" i="5"/>
  <c r="I1067" i="5"/>
  <c r="I883" i="5"/>
  <c r="F314"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X1644"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93" i="5"/>
  <c r="H277" i="5"/>
  <c r="J2116" i="5"/>
  <c r="I1855" i="5"/>
  <c r="H1774" i="5"/>
  <c r="H1811" i="5"/>
  <c r="X1774" i="5"/>
  <c r="R979" i="5"/>
  <c r="F852" i="5"/>
  <c r="F817" i="5"/>
  <c r="I580" i="5"/>
  <c r="H293" i="5"/>
  <c r="R2116" i="5"/>
  <c r="H1855" i="5"/>
  <c r="I1811" i="5"/>
  <c r="F1774" i="5"/>
  <c r="X730" i="5"/>
  <c r="J869" i="5"/>
  <c r="R580" i="5"/>
  <c r="F1842" i="5"/>
  <c r="J1855" i="5"/>
  <c r="J1811" i="5"/>
  <c r="H1140" i="5"/>
  <c r="R1292" i="5"/>
  <c r="I888" i="5"/>
  <c r="F738" i="5"/>
  <c r="H580" i="5"/>
  <c r="J277"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277" i="5"/>
  <c r="I730" i="5"/>
  <c r="R87" i="5"/>
  <c r="J1842" i="5"/>
  <c r="H1696" i="5"/>
  <c r="J1086" i="5"/>
  <c r="I524" i="5"/>
  <c r="R439" i="5"/>
  <c r="I293" i="5"/>
  <c r="B30" i="6"/>
  <c r="G30" i="6"/>
  <c r="B41" i="6"/>
  <c r="G41" i="6"/>
  <c r="B31" i="6"/>
  <c r="G31" i="6"/>
  <c r="J306" i="5"/>
  <c r="J2417" i="5"/>
  <c r="J2160" i="5"/>
  <c r="F1876" i="5"/>
  <c r="R1770" i="5"/>
  <c r="R1700" i="5"/>
  <c r="I1696" i="5"/>
  <c r="I1672" i="5"/>
  <c r="F1126" i="5"/>
  <c r="F875" i="5"/>
  <c r="R888" i="5"/>
  <c r="F783" i="5"/>
  <c r="R757" i="5"/>
  <c r="I588" i="5"/>
  <c r="R431" i="5"/>
  <c r="J435" i="5"/>
  <c r="H2012" i="5"/>
  <c r="F640" i="5"/>
  <c r="J207" i="5"/>
  <c r="F2197" i="5"/>
  <c r="R2417" i="5"/>
  <c r="H2409" i="5"/>
  <c r="H2011" i="5"/>
  <c r="J1876" i="5"/>
  <c r="J1669" i="5"/>
  <c r="J1696" i="5"/>
  <c r="F1700"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I1003" i="5"/>
  <c r="H1352" i="5"/>
  <c r="R974" i="5"/>
  <c r="I1074" i="5"/>
  <c r="I875" i="5"/>
  <c r="J783" i="5"/>
  <c r="J749" i="5"/>
  <c r="R334" i="5"/>
  <c r="F306" i="5"/>
  <c r="I1801" i="5"/>
  <c r="J1664" i="5"/>
  <c r="I1712" i="5"/>
  <c r="X1494" i="5"/>
  <c r="X1190" i="5"/>
  <c r="J1352" i="5"/>
  <c r="I1292" i="5"/>
  <c r="R875" i="5"/>
  <c r="R738" i="5"/>
  <c r="I717" i="5"/>
  <c r="R718" i="5"/>
  <c r="F757" i="5"/>
  <c r="I306" i="5"/>
  <c r="R207" i="5"/>
  <c r="F281" i="5"/>
  <c r="X1510" i="5"/>
  <c r="F1190" i="5"/>
  <c r="I983" i="5"/>
  <c r="J1292" i="5"/>
  <c r="F749" i="5"/>
  <c r="J717" i="5"/>
  <c r="H640" i="5"/>
  <c r="H588" i="5"/>
  <c r="R435" i="5"/>
  <c r="H431" i="5"/>
  <c r="I281" i="5"/>
  <c r="F2061" i="5"/>
  <c r="H556" i="5"/>
  <c r="H2197" i="5"/>
  <c r="F2405" i="5"/>
  <c r="F2386" i="5"/>
  <c r="R2289" i="5"/>
  <c r="X2154" i="5"/>
  <c r="R2160" i="5"/>
  <c r="I2100" i="5"/>
  <c r="R2035" i="5"/>
  <c r="I1867" i="5"/>
  <c r="I1145" i="5"/>
  <c r="J1074" i="5"/>
  <c r="R794" i="5"/>
  <c r="I634" i="5"/>
  <c r="H670" i="5"/>
  <c r="F1940" i="5"/>
  <c r="F2289" i="5"/>
  <c r="F2154" i="5"/>
  <c r="J2100" i="5"/>
  <c r="J1940" i="5"/>
  <c r="J1867" i="5"/>
  <c r="I1761" i="5"/>
  <c r="X1471" i="5"/>
  <c r="F1193" i="5"/>
  <c r="R1115" i="5"/>
  <c r="I1035" i="5"/>
  <c r="F1304" i="5"/>
  <c r="R1074" i="5"/>
  <c r="F814" i="5"/>
  <c r="J814" i="5"/>
  <c r="F243" i="5"/>
  <c r="J1527" i="5"/>
  <c r="I1527" i="5"/>
  <c r="H1527" i="5"/>
  <c r="F592" i="5"/>
  <c r="R592" i="5"/>
  <c r="I2386" i="5"/>
  <c r="H2405" i="5"/>
  <c r="H2180" i="5"/>
  <c r="R2100" i="5"/>
  <c r="R1940" i="5"/>
  <c r="R1867" i="5"/>
  <c r="J1193" i="5"/>
  <c r="F1145" i="5"/>
  <c r="F867" i="5"/>
  <c r="J303" i="5"/>
  <c r="H1940" i="5"/>
  <c r="H243" i="5"/>
  <c r="J2405" i="5"/>
  <c r="I2180" i="5"/>
  <c r="I1786" i="5"/>
  <c r="J1471" i="5"/>
  <c r="I1131" i="5"/>
  <c r="I1115" i="5"/>
  <c r="I1304" i="5"/>
  <c r="R1145" i="5"/>
  <c r="H634" i="5"/>
  <c r="R423" i="5"/>
  <c r="I2289" i="5"/>
  <c r="J1435" i="5"/>
  <c r="I1435" i="5"/>
  <c r="H1435" i="5"/>
  <c r="R2405" i="5"/>
  <c r="H2386" i="5"/>
  <c r="J2180" i="5"/>
  <c r="J1952" i="5"/>
  <c r="J1786" i="5"/>
  <c r="J1304" i="5"/>
  <c r="X1074" i="5"/>
  <c r="J423" i="5"/>
  <c r="R303" i="5"/>
  <c r="F330" i="5"/>
  <c r="H379" i="5"/>
  <c r="J330" i="5"/>
  <c r="R71" i="5"/>
  <c r="F2381" i="5"/>
  <c r="J2386" i="5"/>
  <c r="R2180" i="5"/>
  <c r="H2160" i="5"/>
  <c r="F2100" i="5"/>
  <c r="R1952" i="5"/>
  <c r="H2035" i="5"/>
  <c r="F1867" i="5"/>
  <c r="R1786" i="5"/>
  <c r="R1131" i="5"/>
  <c r="R1304" i="5"/>
  <c r="I971" i="5"/>
  <c r="F1074" i="5"/>
  <c r="F971" i="5"/>
  <c r="I817" i="5"/>
  <c r="I330" i="5"/>
  <c r="J379" i="5"/>
  <c r="I303" i="5"/>
  <c r="H201" i="5"/>
  <c r="R2386" i="5"/>
  <c r="I2160" i="5"/>
  <c r="I2035" i="5"/>
  <c r="I1471" i="5"/>
  <c r="R1471" i="5"/>
  <c r="R971" i="5"/>
  <c r="H1145" i="5"/>
  <c r="H971" i="5"/>
  <c r="J817" i="5"/>
  <c r="R817" i="5"/>
  <c r="F303" i="5"/>
  <c r="I201" i="5"/>
  <c r="F201" i="5"/>
  <c r="R1055" i="5"/>
  <c r="I891" i="5"/>
  <c r="H867" i="5"/>
  <c r="R712" i="5"/>
  <c r="R427" i="5"/>
  <c r="J194" i="5"/>
  <c r="R608" i="5"/>
  <c r="J712" i="5"/>
  <c r="J2465" i="5"/>
  <c r="F1696" i="5"/>
  <c r="I2205" i="5"/>
  <c r="R2205" i="5"/>
  <c r="J2205" i="5"/>
  <c r="H2205" i="5"/>
  <c r="F2205" i="5"/>
  <c r="R640" i="5"/>
  <c r="J1067" i="5"/>
  <c r="H1067" i="5"/>
  <c r="R672" i="5"/>
  <c r="R175" i="5"/>
  <c r="H808" i="5"/>
  <c r="J808" i="5"/>
  <c r="F644" i="5"/>
  <c r="I2265" i="5"/>
  <c r="R2265" i="5"/>
  <c r="J2265" i="5"/>
  <c r="F608" i="5"/>
  <c r="J1138" i="5"/>
  <c r="I867" i="5"/>
  <c r="R915" i="5"/>
  <c r="R710" i="5"/>
  <c r="H664" i="5"/>
  <c r="H608" i="5"/>
  <c r="H407" i="5"/>
  <c r="F194" i="5"/>
  <c r="I2215" i="5"/>
  <c r="J2215" i="5"/>
  <c r="J1198" i="5"/>
  <c r="R1198" i="5"/>
  <c r="I1198" i="5"/>
  <c r="H1198" i="5"/>
  <c r="X987" i="5"/>
  <c r="F987" i="5"/>
  <c r="H851" i="5"/>
  <c r="F851" i="5"/>
  <c r="R1107" i="5"/>
  <c r="F931" i="5"/>
  <c r="I931" i="5"/>
  <c r="I1138" i="5"/>
  <c r="R867" i="5"/>
  <c r="I712" i="5"/>
  <c r="H710" i="5"/>
  <c r="J407" i="5"/>
  <c r="H1526" i="5"/>
  <c r="R1526" i="5"/>
  <c r="F580" i="5"/>
  <c r="H836" i="5"/>
  <c r="J836" i="5"/>
  <c r="R1158" i="5"/>
  <c r="J1158" i="5"/>
  <c r="I1158" i="5"/>
  <c r="H215" i="5"/>
  <c r="I215" i="5"/>
  <c r="F215" i="5"/>
  <c r="R931" i="5"/>
  <c r="R1138" i="5"/>
  <c r="I679" i="5"/>
  <c r="J427" i="5"/>
  <c r="F2265" i="5"/>
  <c r="I2199" i="5"/>
  <c r="R2199" i="5"/>
  <c r="J2199" i="5"/>
  <c r="H1051" i="5"/>
  <c r="R578" i="5"/>
  <c r="F578" i="5"/>
  <c r="R306" i="5"/>
  <c r="H306" i="5"/>
  <c r="R243" i="5"/>
  <c r="J243" i="5"/>
  <c r="I243" i="5"/>
  <c r="J1761" i="5"/>
  <c r="I1510" i="5"/>
  <c r="F1138" i="5"/>
  <c r="F891" i="5"/>
  <c r="H2265" i="5"/>
  <c r="F974" i="5"/>
  <c r="I2397" i="5"/>
  <c r="F2397" i="5"/>
  <c r="I2253" i="5"/>
  <c r="R2253" i="5"/>
  <c r="J2253" i="5"/>
  <c r="H2253" i="5"/>
  <c r="I2257" i="5"/>
  <c r="J2257" i="5"/>
  <c r="J1403" i="5"/>
  <c r="H1403" i="5"/>
  <c r="H191" i="5"/>
  <c r="J191" i="5"/>
  <c r="R191" i="5"/>
  <c r="I191" i="5"/>
  <c r="R103" i="5"/>
  <c r="R314" i="5"/>
  <c r="H314" i="5"/>
  <c r="H207" i="5"/>
  <c r="I207" i="5"/>
  <c r="F207" i="5"/>
  <c r="R330" i="5"/>
  <c r="H330" i="5"/>
  <c r="J1510" i="5"/>
  <c r="H891" i="5"/>
  <c r="H915" i="5"/>
  <c r="J608" i="5"/>
  <c r="I2189" i="5"/>
  <c r="H2189" i="5"/>
  <c r="I1851" i="5"/>
  <c r="F1851" i="5"/>
  <c r="I1633" i="5"/>
  <c r="F1633" i="5"/>
  <c r="I239" i="5"/>
  <c r="R239" i="5"/>
  <c r="F239" i="5"/>
  <c r="I391" i="5"/>
  <c r="F391" i="5"/>
  <c r="F915" i="5"/>
  <c r="H712" i="5"/>
  <c r="H427" i="5"/>
  <c r="H194" i="5"/>
  <c r="I2213" i="5"/>
  <c r="R2213" i="5"/>
  <c r="J2213" i="5"/>
  <c r="H2213" i="5"/>
  <c r="F2213" i="5"/>
  <c r="J2381" i="5"/>
  <c r="I2381" i="5"/>
  <c r="J1309" i="5"/>
  <c r="I1309" i="5"/>
  <c r="J1325" i="5"/>
  <c r="F1325" i="5"/>
  <c r="R43" i="5"/>
  <c r="R91" i="5"/>
  <c r="X2334"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X794" i="5"/>
  <c r="J1007" i="5"/>
  <c r="H1007" i="5"/>
  <c r="F1007" i="5"/>
  <c r="R632" i="5"/>
  <c r="F632" i="5"/>
  <c r="J632" i="5"/>
  <c r="J829" i="5"/>
  <c r="H829" i="5"/>
  <c r="R814" i="5"/>
  <c r="I814" i="5"/>
  <c r="I443" i="5"/>
  <c r="F443" i="5"/>
  <c r="R163" i="5"/>
  <c r="I290"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X710" i="5"/>
  <c r="J576" i="5"/>
  <c r="F576" i="5"/>
  <c r="R576" i="5"/>
  <c r="I423" i="5"/>
  <c r="F423" i="5"/>
  <c r="F379" i="5"/>
  <c r="I379" i="5"/>
  <c r="R297" i="5"/>
  <c r="F297" i="5"/>
  <c r="J290"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R151"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X662" i="5"/>
  <c r="R662" i="5"/>
  <c r="J662" i="5"/>
  <c r="J634" i="5"/>
  <c r="R634" i="5"/>
  <c r="F634" i="5"/>
  <c r="R664" i="5"/>
  <c r="I664" i="5"/>
  <c r="F664" i="5"/>
  <c r="I407" i="5"/>
  <c r="F407" i="5"/>
  <c r="H287" i="5"/>
  <c r="R287" i="5"/>
  <c r="J287" i="5"/>
  <c r="I287" i="5"/>
  <c r="F287" i="5"/>
  <c r="I435" i="5"/>
  <c r="F435" i="5"/>
  <c r="H211" i="5"/>
  <c r="R211" i="5"/>
  <c r="J211" i="5"/>
  <c r="I211" i="5"/>
  <c r="F211" i="5"/>
  <c r="I2232" i="5"/>
  <c r="H2232" i="5"/>
  <c r="F2232" i="5"/>
  <c r="F2454" i="5"/>
  <c r="H2454" i="5"/>
  <c r="I2454" i="5"/>
  <c r="X2116"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X1039" i="5"/>
  <c r="H1039" i="5"/>
  <c r="F1039" i="5"/>
  <c r="J1039" i="5"/>
  <c r="H762" i="5"/>
  <c r="F762" i="5"/>
  <c r="X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X718" i="5"/>
  <c r="J983" i="5"/>
  <c r="H983" i="5"/>
  <c r="F983" i="5"/>
  <c r="H766" i="5"/>
  <c r="J766" i="5"/>
  <c r="I766" i="5"/>
  <c r="F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B44" i="6"/>
  <c r="G44" i="6"/>
  <c r="G32" i="6"/>
  <c r="B49" i="6"/>
  <c r="G49" i="6"/>
  <c r="B34" i="6"/>
  <c r="G34" i="6"/>
  <c r="B29" i="6"/>
  <c r="G29" i="6"/>
  <c r="B24" i="6"/>
  <c r="G24" i="6"/>
  <c r="G19" i="6"/>
  <c r="H19" i="6"/>
  <c r="F2426" i="5"/>
  <c r="X2426" i="5"/>
  <c r="R2426" i="5"/>
  <c r="J2426" i="5"/>
  <c r="I2426" i="5"/>
  <c r="H2426" i="5"/>
  <c r="D5" i="6"/>
  <c r="F2446" i="5"/>
  <c r="H2446" i="5"/>
  <c r="J2446" i="5"/>
  <c r="I2446" i="5"/>
  <c r="R2446" i="5"/>
  <c r="G22" i="6"/>
  <c r="B47" i="6"/>
  <c r="G47" i="6"/>
  <c r="J2504" i="5"/>
  <c r="I2504" i="5"/>
  <c r="H2504" i="5"/>
  <c r="R2504" i="5"/>
  <c r="F2504" i="5"/>
  <c r="F2434" i="5"/>
  <c r="R2434" i="5"/>
  <c r="J2434" i="5"/>
  <c r="I2434" i="5"/>
  <c r="H2434" i="5"/>
  <c r="X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X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X2063" i="5"/>
  <c r="R2063" i="5"/>
  <c r="J2063" i="5"/>
  <c r="J2115" i="5"/>
  <c r="I2115" i="5"/>
  <c r="H2115" i="5"/>
  <c r="F2115" i="5"/>
  <c r="R2115" i="5"/>
  <c r="X2115" i="5"/>
  <c r="I2171" i="5"/>
  <c r="H2171" i="5"/>
  <c r="F2171" i="5"/>
  <c r="R2171" i="5"/>
  <c r="J2171" i="5"/>
  <c r="I1926" i="5"/>
  <c r="H1926" i="5"/>
  <c r="F1926" i="5"/>
  <c r="R1926" i="5"/>
  <c r="J1926" i="5"/>
  <c r="R2038" i="5"/>
  <c r="J2038" i="5"/>
  <c r="I2038" i="5"/>
  <c r="H2038" i="5"/>
  <c r="F2038" i="5"/>
  <c r="R1974" i="5"/>
  <c r="J1974" i="5"/>
  <c r="I1974" i="5"/>
  <c r="H1974" i="5"/>
  <c r="F1974" i="5"/>
  <c r="X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X2046" i="5"/>
  <c r="H1783" i="5"/>
  <c r="F1783" i="5"/>
  <c r="R1783" i="5"/>
  <c r="J1783" i="5"/>
  <c r="I1783" i="5"/>
  <c r="R1826" i="5"/>
  <c r="I1826" i="5"/>
  <c r="H1826" i="5"/>
  <c r="F1826" i="5"/>
  <c r="J1826" i="5"/>
  <c r="I1833" i="5"/>
  <c r="R1833" i="5"/>
  <c r="J1833" i="5"/>
  <c r="H1833" i="5"/>
  <c r="F1833" i="5"/>
  <c r="I1914" i="5"/>
  <c r="H1914" i="5"/>
  <c r="F1914" i="5"/>
  <c r="R1914" i="5"/>
  <c r="J1914" i="5"/>
  <c r="X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X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X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X863"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R132" i="5"/>
  <c r="R402" i="5"/>
  <c r="J402" i="5"/>
  <c r="I402" i="5"/>
  <c r="H402" i="5"/>
  <c r="F402" i="5"/>
  <c r="J204" i="5"/>
  <c r="H204" i="5"/>
  <c r="F204" i="5"/>
  <c r="I204" i="5"/>
  <c r="R204" i="5"/>
  <c r="R116" i="5"/>
  <c r="R104" i="5"/>
  <c r="B46" i="6"/>
  <c r="G46" i="6"/>
  <c r="B26" i="6"/>
  <c r="G26" i="6"/>
  <c r="G21" i="6"/>
  <c r="H21" i="6"/>
  <c r="B36" i="6"/>
  <c r="G36" i="6"/>
  <c r="G20" i="6"/>
  <c r="H20" i="6"/>
  <c r="B45" i="6"/>
  <c r="G45" i="6"/>
  <c r="D17" i="6"/>
  <c r="H2439" i="5"/>
  <c r="F2439" i="5"/>
  <c r="R2439" i="5"/>
  <c r="J2439" i="5"/>
  <c r="I2439" i="5"/>
  <c r="F2414" i="5"/>
  <c r="X2414" i="5"/>
  <c r="R2414" i="5"/>
  <c r="J2414" i="5"/>
  <c r="I2414" i="5"/>
  <c r="H2414" i="5"/>
  <c r="J2448" i="5"/>
  <c r="F2448" i="5"/>
  <c r="X2448" i="5"/>
  <c r="I2448" i="5"/>
  <c r="H2448" i="5"/>
  <c r="R2448" i="5"/>
  <c r="B27" i="6"/>
  <c r="G27" i="6"/>
  <c r="I2427" i="5"/>
  <c r="H2427" i="5"/>
  <c r="F2427" i="5"/>
  <c r="R2427" i="5"/>
  <c r="J2427" i="5"/>
  <c r="J2378" i="5"/>
  <c r="H2378" i="5"/>
  <c r="F2378" i="5"/>
  <c r="X2378" i="5"/>
  <c r="R2378" i="5"/>
  <c r="I2378" i="5"/>
  <c r="F2287" i="5"/>
  <c r="R2287" i="5"/>
  <c r="I2287" i="5"/>
  <c r="J2287" i="5"/>
  <c r="H2287" i="5"/>
  <c r="J2192" i="5"/>
  <c r="X2192" i="5"/>
  <c r="R2192" i="5"/>
  <c r="I2192" i="5"/>
  <c r="H2192" i="5"/>
  <c r="F2192" i="5"/>
  <c r="I2135" i="5"/>
  <c r="H2135" i="5"/>
  <c r="F2135" i="5"/>
  <c r="R2135" i="5"/>
  <c r="J2135" i="5"/>
  <c r="H2266" i="5"/>
  <c r="F2266" i="5"/>
  <c r="R2266" i="5"/>
  <c r="J2266" i="5"/>
  <c r="I2266" i="5"/>
  <c r="F2222" i="5"/>
  <c r="R2222" i="5"/>
  <c r="J2222" i="5"/>
  <c r="I2222" i="5"/>
  <c r="H2222" i="5"/>
  <c r="X2222" i="5"/>
  <c r="R2172" i="5"/>
  <c r="J2172" i="5"/>
  <c r="I2172" i="5"/>
  <c r="H2172" i="5"/>
  <c r="F2172" i="5"/>
  <c r="H2114" i="5"/>
  <c r="F2114" i="5"/>
  <c r="X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X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X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X1722" i="5"/>
  <c r="J1722" i="5"/>
  <c r="R1722" i="5"/>
  <c r="I1706" i="5"/>
  <c r="H1706" i="5"/>
  <c r="F1706" i="5"/>
  <c r="R1706" i="5"/>
  <c r="J1706" i="5"/>
  <c r="I1690" i="5"/>
  <c r="H1690" i="5"/>
  <c r="F1690" i="5"/>
  <c r="R1690" i="5"/>
  <c r="J1690" i="5"/>
  <c r="I1674" i="5"/>
  <c r="H1674" i="5"/>
  <c r="F1674" i="5"/>
  <c r="X1674" i="5"/>
  <c r="R1674" i="5"/>
  <c r="J1674" i="5"/>
  <c r="I1658" i="5"/>
  <c r="H1658" i="5"/>
  <c r="F1658" i="5"/>
  <c r="X1658" i="5"/>
  <c r="R1658" i="5"/>
  <c r="J1658" i="5"/>
  <c r="I1642" i="5"/>
  <c r="H1642" i="5"/>
  <c r="F1642" i="5"/>
  <c r="R1642" i="5"/>
  <c r="J1642" i="5"/>
  <c r="H1626" i="5"/>
  <c r="F1626" i="5"/>
  <c r="X1626" i="5"/>
  <c r="R1626" i="5"/>
  <c r="J1626" i="5"/>
  <c r="I1626" i="5"/>
  <c r="F1610" i="5"/>
  <c r="X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X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X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X1306" i="5"/>
  <c r="R1306" i="5"/>
  <c r="J1306" i="5"/>
  <c r="I1306" i="5"/>
  <c r="H1306" i="5"/>
  <c r="F1298" i="5"/>
  <c r="R1298" i="5"/>
  <c r="J1298" i="5"/>
  <c r="I1298" i="5"/>
  <c r="H1298" i="5"/>
  <c r="F1290" i="5"/>
  <c r="R1290" i="5"/>
  <c r="J1290" i="5"/>
  <c r="I1290" i="5"/>
  <c r="H1290" i="5"/>
  <c r="F1282" i="5"/>
  <c r="R1282" i="5"/>
  <c r="J1282" i="5"/>
  <c r="I1282" i="5"/>
  <c r="H1282" i="5"/>
  <c r="F1274" i="5"/>
  <c r="X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R184" i="5"/>
  <c r="J328" i="5"/>
  <c r="F328" i="5"/>
  <c r="R328" i="5"/>
  <c r="I328" i="5"/>
  <c r="H328" i="5"/>
  <c r="J220" i="5"/>
  <c r="I220" i="5"/>
  <c r="H220" i="5"/>
  <c r="F220" i="5"/>
  <c r="R220" i="5"/>
  <c r="F2422" i="5"/>
  <c r="R2422" i="5"/>
  <c r="I2422" i="5"/>
  <c r="H2422" i="5"/>
  <c r="J2422" i="5"/>
  <c r="R2396" i="5"/>
  <c r="J2396" i="5"/>
  <c r="I2396" i="5"/>
  <c r="F2396" i="5"/>
  <c r="H2396" i="5"/>
  <c r="H2331" i="5"/>
  <c r="F2331" i="5"/>
  <c r="R2331" i="5"/>
  <c r="I2331" i="5"/>
  <c r="J2331" i="5"/>
  <c r="H2327" i="5"/>
  <c r="F2327" i="5"/>
  <c r="X2327" i="5"/>
  <c r="I2327" i="5"/>
  <c r="R2327" i="5"/>
  <c r="J2327" i="5"/>
  <c r="I2292" i="5"/>
  <c r="J2292" i="5"/>
  <c r="H2292" i="5"/>
  <c r="F2292" i="5"/>
  <c r="R2292" i="5"/>
  <c r="X2290"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X1646" i="5"/>
  <c r="R1646" i="5"/>
  <c r="J1646" i="5"/>
  <c r="F1614" i="5"/>
  <c r="R1614" i="5"/>
  <c r="J1614" i="5"/>
  <c r="I1614" i="5"/>
  <c r="H1614" i="5"/>
  <c r="F1582" i="5"/>
  <c r="X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X1202" i="5"/>
  <c r="J1202" i="5"/>
  <c r="I1202" i="5"/>
  <c r="H1202" i="5"/>
  <c r="R1202" i="5"/>
  <c r="H1128" i="5"/>
  <c r="F1128" i="5"/>
  <c r="R1128" i="5"/>
  <c r="J1128" i="5"/>
  <c r="I1128" i="5"/>
  <c r="H1096" i="5"/>
  <c r="F1096" i="5"/>
  <c r="X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X972" i="5"/>
  <c r="R972" i="5"/>
  <c r="J972" i="5"/>
  <c r="I972" i="5"/>
  <c r="H972" i="5"/>
  <c r="R930" i="5"/>
  <c r="I930" i="5"/>
  <c r="J930" i="5"/>
  <c r="H930" i="5"/>
  <c r="F930" i="5"/>
  <c r="X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R120" i="5"/>
  <c r="R140" i="5"/>
  <c r="J192" i="5"/>
  <c r="H192" i="5"/>
  <c r="F192" i="5"/>
  <c r="R192" i="5"/>
  <c r="I192" i="5"/>
  <c r="B69" i="4"/>
  <c r="A50" i="6" s="1"/>
  <c r="F67" i="6"/>
  <c r="F31" i="6"/>
  <c r="F46" i="6"/>
  <c r="F41" i="6"/>
  <c r="H41" i="6"/>
  <c r="D41" i="6"/>
  <c r="F36" i="6"/>
  <c r="H36" i="6"/>
  <c r="D36" i="6"/>
  <c r="F51" i="6"/>
  <c r="H51" i="6"/>
  <c r="D51" i="6"/>
  <c r="J2479" i="5"/>
  <c r="I2479" i="5"/>
  <c r="R2479" i="5"/>
  <c r="H2479" i="5"/>
  <c r="F2479" i="5"/>
  <c r="F45" i="6"/>
  <c r="H45" i="6"/>
  <c r="D45" i="6"/>
  <c r="F66" i="6"/>
  <c r="F50" i="6"/>
  <c r="H50" i="6"/>
  <c r="D50" i="6"/>
  <c r="F30" i="6"/>
  <c r="H25" i="6"/>
  <c r="F35" i="6"/>
  <c r="F40" i="6"/>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X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X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X1986" i="5"/>
  <c r="R1954" i="5"/>
  <c r="I1954" i="5"/>
  <c r="H1954" i="5"/>
  <c r="F1954" i="5"/>
  <c r="J1954" i="5"/>
  <c r="X1954" i="5"/>
  <c r="I1817" i="5"/>
  <c r="R1817" i="5"/>
  <c r="J1817" i="5"/>
  <c r="H1817" i="5"/>
  <c r="F1817" i="5"/>
  <c r="H1799" i="5"/>
  <c r="F1799" i="5"/>
  <c r="R1799" i="5"/>
  <c r="J1799" i="5"/>
  <c r="I1799" i="5"/>
  <c r="I1950" i="5"/>
  <c r="H1950" i="5"/>
  <c r="F1950" i="5"/>
  <c r="R1950" i="5"/>
  <c r="J1950" i="5"/>
  <c r="X1950" i="5"/>
  <c r="I1938" i="5"/>
  <c r="H1938" i="5"/>
  <c r="F1938" i="5"/>
  <c r="R1938" i="5"/>
  <c r="J1938" i="5"/>
  <c r="X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X1378" i="5"/>
  <c r="J1378" i="5"/>
  <c r="X1146"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X1194" i="5"/>
  <c r="R1194" i="5"/>
  <c r="J1194" i="5"/>
  <c r="I1194" i="5"/>
  <c r="H1194" i="5"/>
  <c r="F1226" i="5"/>
  <c r="X1226" i="5"/>
  <c r="R1226" i="5"/>
  <c r="J1226" i="5"/>
  <c r="I1226" i="5"/>
  <c r="H1226" i="5"/>
  <c r="H1088" i="5"/>
  <c r="F1088" i="5"/>
  <c r="R1088" i="5"/>
  <c r="I1088" i="5"/>
  <c r="J1088" i="5"/>
  <c r="H1024" i="5"/>
  <c r="F1024" i="5"/>
  <c r="R1024" i="5"/>
  <c r="J1024" i="5"/>
  <c r="I1024" i="5"/>
  <c r="F1206" i="5"/>
  <c r="X1206" i="5"/>
  <c r="R1206" i="5"/>
  <c r="J1206" i="5"/>
  <c r="H1206" i="5"/>
  <c r="I1206" i="5"/>
  <c r="H1084" i="5"/>
  <c r="F1084" i="5"/>
  <c r="R1084" i="5"/>
  <c r="J1084" i="5"/>
  <c r="I1084" i="5"/>
  <c r="F1266" i="5"/>
  <c r="R1266" i="5"/>
  <c r="J1266" i="5"/>
  <c r="I1266" i="5"/>
  <c r="H1266" i="5"/>
  <c r="F968" i="5"/>
  <c r="R968" i="5"/>
  <c r="J968" i="5"/>
  <c r="I968" i="5"/>
  <c r="H968" i="5"/>
  <c r="J989" i="5"/>
  <c r="I989" i="5"/>
  <c r="H989" i="5"/>
  <c r="X989" i="5"/>
  <c r="F989" i="5"/>
  <c r="R989" i="5"/>
  <c r="J1065" i="5"/>
  <c r="I1065" i="5"/>
  <c r="H1065" i="5"/>
  <c r="R1065" i="5"/>
  <c r="F1065" i="5"/>
  <c r="R866" i="5"/>
  <c r="I866" i="5"/>
  <c r="H866" i="5"/>
  <c r="F866" i="5"/>
  <c r="X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R144"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X2214" i="5"/>
  <c r="H2127" i="5"/>
  <c r="F2127" i="5"/>
  <c r="J2127" i="5"/>
  <c r="I2127" i="5"/>
  <c r="R2127" i="5"/>
  <c r="F2102" i="5"/>
  <c r="I2102" i="5"/>
  <c r="H2102" i="5"/>
  <c r="J2102" i="5"/>
  <c r="R2102" i="5"/>
  <c r="R1994" i="5"/>
  <c r="J1994" i="5"/>
  <c r="I1994" i="5"/>
  <c r="H1994" i="5"/>
  <c r="F1994" i="5"/>
  <c r="X1994" i="5"/>
  <c r="I1865" i="5"/>
  <c r="H1865" i="5"/>
  <c r="F1865" i="5"/>
  <c r="R1865" i="5"/>
  <c r="J1865" i="5"/>
  <c r="I1942" i="5"/>
  <c r="H1942" i="5"/>
  <c r="F1942" i="5"/>
  <c r="R1942" i="5"/>
  <c r="J1942" i="5"/>
  <c r="X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X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X1710" i="5"/>
  <c r="R1710" i="5"/>
  <c r="J1710" i="5"/>
  <c r="I1678" i="5"/>
  <c r="H1678" i="5"/>
  <c r="F1678" i="5"/>
  <c r="X1678" i="5"/>
  <c r="R1678" i="5"/>
  <c r="J1678" i="5"/>
  <c r="I1662" i="5"/>
  <c r="H1662" i="5"/>
  <c r="F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X1234" i="5"/>
  <c r="J1234" i="5"/>
  <c r="I1234" i="5"/>
  <c r="H1234" i="5"/>
  <c r="R1234" i="5"/>
  <c r="H1112" i="5"/>
  <c r="F1112" i="5"/>
  <c r="R1112" i="5"/>
  <c r="J1112" i="5"/>
  <c r="I1112" i="5"/>
  <c r="H1080" i="5"/>
  <c r="F1080" i="5"/>
  <c r="R1080" i="5"/>
  <c r="J1080" i="5"/>
  <c r="I1080" i="5"/>
  <c r="H1048" i="5"/>
  <c r="F1048" i="5"/>
  <c r="R1048" i="5"/>
  <c r="J1048" i="5"/>
  <c r="I1048" i="5"/>
  <c r="H1032" i="5"/>
  <c r="F1032" i="5"/>
  <c r="X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X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R124" i="5"/>
  <c r="H2463" i="5"/>
  <c r="I2463" i="5"/>
  <c r="F2463" i="5"/>
  <c r="R2463" i="5"/>
  <c r="J2463" i="5"/>
  <c r="F42" i="6"/>
  <c r="H42" i="6"/>
  <c r="D42" i="6"/>
  <c r="H27" i="6"/>
  <c r="F68" i="6"/>
  <c r="F32" i="6"/>
  <c r="F52" i="6"/>
  <c r="H52" i="6"/>
  <c r="D52" i="6"/>
  <c r="F47" i="6"/>
  <c r="F37" i="6"/>
  <c r="H37" i="6"/>
  <c r="D37" i="6"/>
  <c r="F2323" i="5"/>
  <c r="J2323" i="5"/>
  <c r="R2323" i="5"/>
  <c r="I2323" i="5"/>
  <c r="H2323" i="5"/>
  <c r="I2300" i="5"/>
  <c r="J2300" i="5"/>
  <c r="H2300" i="5"/>
  <c r="F2300" i="5"/>
  <c r="R2300" i="5"/>
  <c r="R2168" i="5"/>
  <c r="J2168" i="5"/>
  <c r="I2168" i="5"/>
  <c r="H2168" i="5"/>
  <c r="F2168" i="5"/>
  <c r="F2074" i="5"/>
  <c r="R2074" i="5"/>
  <c r="J2074" i="5"/>
  <c r="I2074" i="5"/>
  <c r="H2074" i="5"/>
  <c r="R2060" i="5"/>
  <c r="J2060" i="5"/>
  <c r="H2060" i="5"/>
  <c r="F2060" i="5"/>
  <c r="I2060" i="5"/>
  <c r="R2088" i="5"/>
  <c r="J2088" i="5"/>
  <c r="I2088" i="5"/>
  <c r="H2088" i="5"/>
  <c r="F2088" i="5"/>
  <c r="R2042" i="5"/>
  <c r="J2042" i="5"/>
  <c r="I2042" i="5"/>
  <c r="H2042" i="5"/>
  <c r="F2042" i="5"/>
  <c r="X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X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H2440" i="5"/>
  <c r="F2440" i="5"/>
  <c r="H22" i="6"/>
  <c r="K68" i="6"/>
  <c r="F2485" i="5"/>
  <c r="R2485" i="5"/>
  <c r="J2485" i="5"/>
  <c r="I2485" i="5"/>
  <c r="H2485" i="5"/>
  <c r="J2444" i="5"/>
  <c r="I2444" i="5"/>
  <c r="H2444" i="5"/>
  <c r="R2444" i="5"/>
  <c r="F2444" i="5"/>
  <c r="J2362" i="5"/>
  <c r="H2362" i="5"/>
  <c r="F2362" i="5"/>
  <c r="X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X2246" i="5"/>
  <c r="R2246" i="5"/>
  <c r="J2246" i="5"/>
  <c r="I2246" i="5"/>
  <c r="J2208" i="5"/>
  <c r="R2208" i="5"/>
  <c r="I2208" i="5"/>
  <c r="H2208" i="5"/>
  <c r="F2208" i="5"/>
  <c r="X2298" i="5"/>
  <c r="R2298" i="5"/>
  <c r="I2298" i="5"/>
  <c r="J2298" i="5"/>
  <c r="H2298" i="5"/>
  <c r="F2298" i="5"/>
  <c r="I2304" i="5"/>
  <c r="H2304" i="5"/>
  <c r="R2304" i="5"/>
  <c r="J2304" i="5"/>
  <c r="F2304" i="5"/>
  <c r="H2234" i="5"/>
  <c r="F2234" i="5"/>
  <c r="R2234" i="5"/>
  <c r="J2234" i="5"/>
  <c r="I2234" i="5"/>
  <c r="H2242" i="5"/>
  <c r="F2242" i="5"/>
  <c r="X2242" i="5"/>
  <c r="R2242" i="5"/>
  <c r="J2242" i="5"/>
  <c r="I2242" i="5"/>
  <c r="R2140" i="5"/>
  <c r="J2140" i="5"/>
  <c r="I2140" i="5"/>
  <c r="H2140" i="5"/>
  <c r="F2140" i="5"/>
  <c r="J2124" i="5"/>
  <c r="I2124" i="5"/>
  <c r="H2124" i="5"/>
  <c r="R2124" i="5"/>
  <c r="F2124" i="5"/>
  <c r="F2110" i="5"/>
  <c r="I2110" i="5"/>
  <c r="H2110" i="5"/>
  <c r="R2110" i="5"/>
  <c r="J2110" i="5"/>
  <c r="F2094" i="5"/>
  <c r="X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X2030" i="5"/>
  <c r="I1857" i="5"/>
  <c r="H1857" i="5"/>
  <c r="F1857" i="5"/>
  <c r="R1857" i="5"/>
  <c r="J1857" i="5"/>
  <c r="R2010" i="5"/>
  <c r="J2010" i="5"/>
  <c r="I2010" i="5"/>
  <c r="H2010" i="5"/>
  <c r="F2010" i="5"/>
  <c r="X2010" i="5"/>
  <c r="R1990" i="5"/>
  <c r="J1990" i="5"/>
  <c r="I1990" i="5"/>
  <c r="H1990" i="5"/>
  <c r="F1990" i="5"/>
  <c r="R1866" i="5"/>
  <c r="J1866" i="5"/>
  <c r="I1866" i="5"/>
  <c r="H1866" i="5"/>
  <c r="F1866" i="5"/>
  <c r="X1866" i="5"/>
  <c r="R1870" i="5"/>
  <c r="J1870" i="5"/>
  <c r="I1870" i="5"/>
  <c r="H1870" i="5"/>
  <c r="F1870" i="5"/>
  <c r="R1854" i="5"/>
  <c r="J1854" i="5"/>
  <c r="I1854" i="5"/>
  <c r="H1854" i="5"/>
  <c r="F1854" i="5"/>
  <c r="X1854" i="5"/>
  <c r="H1795" i="5"/>
  <c r="F1795" i="5"/>
  <c r="R1795" i="5"/>
  <c r="J1795" i="5"/>
  <c r="I1795" i="5"/>
  <c r="R1831" i="5"/>
  <c r="H1831" i="5"/>
  <c r="F1831" i="5"/>
  <c r="J1831" i="5"/>
  <c r="I1831" i="5"/>
  <c r="R1733" i="5"/>
  <c r="H1733" i="5"/>
  <c r="F1733" i="5"/>
  <c r="J1733" i="5"/>
  <c r="I1733" i="5"/>
  <c r="I1718" i="5"/>
  <c r="H1718" i="5"/>
  <c r="F1718" i="5"/>
  <c r="X1718" i="5"/>
  <c r="R1718" i="5"/>
  <c r="J1718" i="5"/>
  <c r="I1702" i="5"/>
  <c r="H1702" i="5"/>
  <c r="F1702" i="5"/>
  <c r="R1702" i="5"/>
  <c r="J1702" i="5"/>
  <c r="I1686" i="5"/>
  <c r="H1686" i="5"/>
  <c r="F1686" i="5"/>
  <c r="X1686" i="5"/>
  <c r="J1686" i="5"/>
  <c r="R1686" i="5"/>
  <c r="I1670" i="5"/>
  <c r="H1670" i="5"/>
  <c r="F1670" i="5"/>
  <c r="R1670" i="5"/>
  <c r="J1670" i="5"/>
  <c r="I1654" i="5"/>
  <c r="H1654" i="5"/>
  <c r="F1654" i="5"/>
  <c r="X1654" i="5"/>
  <c r="J1654" i="5"/>
  <c r="R1654" i="5"/>
  <c r="I1638" i="5"/>
  <c r="H1638" i="5"/>
  <c r="F1638" i="5"/>
  <c r="R1638" i="5"/>
  <c r="J1638" i="5"/>
  <c r="F1622" i="5"/>
  <c r="X1622" i="5"/>
  <c r="R1622" i="5"/>
  <c r="J1622" i="5"/>
  <c r="I1622" i="5"/>
  <c r="H1622" i="5"/>
  <c r="F1606" i="5"/>
  <c r="R1606" i="5"/>
  <c r="J1606" i="5"/>
  <c r="I1606" i="5"/>
  <c r="H1606" i="5"/>
  <c r="F1590" i="5"/>
  <c r="R1590" i="5"/>
  <c r="J1590" i="5"/>
  <c r="I1590" i="5"/>
  <c r="H1590" i="5"/>
  <c r="F1574" i="5"/>
  <c r="R1574" i="5"/>
  <c r="J1574" i="5"/>
  <c r="I1574" i="5"/>
  <c r="H1574" i="5"/>
  <c r="F1558" i="5"/>
  <c r="X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X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X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X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X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X623"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R172" i="5"/>
  <c r="R160" i="5"/>
  <c r="R180" i="5"/>
  <c r="J200" i="5"/>
  <c r="H200" i="5"/>
  <c r="F200" i="5"/>
  <c r="R200" i="5"/>
  <c r="I200" i="5"/>
  <c r="J308" i="5"/>
  <c r="R308" i="5"/>
  <c r="H308" i="5"/>
  <c r="F308" i="5"/>
  <c r="I308" i="5"/>
  <c r="R100" i="5"/>
  <c r="J312" i="5"/>
  <c r="F312" i="5"/>
  <c r="R312" i="5"/>
  <c r="I312" i="5"/>
  <c r="H312" i="5"/>
  <c r="R188" i="5"/>
  <c r="K67" i="6"/>
  <c r="D16" i="6"/>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X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R148" i="5"/>
  <c r="B52" i="4"/>
  <c r="A36" i="6" s="1"/>
  <c r="B58" i="4"/>
  <c r="A41" i="6" s="1"/>
  <c r="D15" i="6"/>
  <c r="K66" i="6"/>
  <c r="H2471" i="5"/>
  <c r="I2471" i="5"/>
  <c r="F2471" i="5"/>
  <c r="R2471" i="5"/>
  <c r="J2471" i="5"/>
  <c r="H2486" i="5"/>
  <c r="I2486" i="5"/>
  <c r="F2486" i="5"/>
  <c r="R2486" i="5"/>
  <c r="J2486" i="5"/>
  <c r="F2402" i="5"/>
  <c r="X2402" i="5"/>
  <c r="I2402" i="5"/>
  <c r="H2402" i="5"/>
  <c r="R2402" i="5"/>
  <c r="J2402" i="5"/>
  <c r="H2478" i="5"/>
  <c r="I2478" i="5"/>
  <c r="F2478" i="5"/>
  <c r="R2478" i="5"/>
  <c r="J2478" i="5"/>
  <c r="X2478" i="5"/>
  <c r="H2490" i="5"/>
  <c r="F2490" i="5"/>
  <c r="I2490" i="5"/>
  <c r="X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X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X2120"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X1930" i="5"/>
  <c r="I1918" i="5"/>
  <c r="H1918" i="5"/>
  <c r="F1918" i="5"/>
  <c r="R1918" i="5"/>
  <c r="J1918" i="5"/>
  <c r="X1918" i="5"/>
  <c r="R1834" i="5"/>
  <c r="I1834" i="5"/>
  <c r="F1834" i="5"/>
  <c r="X1834" i="5"/>
  <c r="J1834" i="5"/>
  <c r="H1834" i="5"/>
  <c r="H1791" i="5"/>
  <c r="F1791" i="5"/>
  <c r="R1791" i="5"/>
  <c r="J1791" i="5"/>
  <c r="I1791" i="5"/>
  <c r="I1814" i="5"/>
  <c r="H1814" i="5"/>
  <c r="F1814" i="5"/>
  <c r="J1814" i="5"/>
  <c r="R1814" i="5"/>
  <c r="R1982" i="5"/>
  <c r="J1982" i="5"/>
  <c r="I1982" i="5"/>
  <c r="H1982" i="5"/>
  <c r="F1982" i="5"/>
  <c r="X1982" i="5"/>
  <c r="R2002" i="5"/>
  <c r="J2002" i="5"/>
  <c r="I2002" i="5"/>
  <c r="H2002" i="5"/>
  <c r="F2002" i="5"/>
  <c r="X1746"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X1734" i="5"/>
  <c r="R1734" i="5"/>
  <c r="J1734" i="5"/>
  <c r="I1734" i="5"/>
  <c r="H1734" i="5"/>
  <c r="F1734" i="5"/>
  <c r="J1437" i="5"/>
  <c r="I1437" i="5"/>
  <c r="H1437" i="5"/>
  <c r="F1437" i="5"/>
  <c r="R1437" i="5"/>
  <c r="I1607" i="5"/>
  <c r="H1607" i="5"/>
  <c r="F1607" i="5"/>
  <c r="R1607" i="5"/>
  <c r="J1607" i="5"/>
  <c r="I1575" i="5"/>
  <c r="H1575" i="5"/>
  <c r="F1575" i="5"/>
  <c r="R1575" i="5"/>
  <c r="J1575" i="5"/>
  <c r="F1358" i="5"/>
  <c r="R1358" i="5"/>
  <c r="X1358" i="5"/>
  <c r="J1358" i="5"/>
  <c r="H1358" i="5"/>
  <c r="I1358" i="5"/>
  <c r="R1340" i="5"/>
  <c r="F1340" i="5"/>
  <c r="H1340" i="5"/>
  <c r="J1340" i="5"/>
  <c r="I1340" i="5"/>
  <c r="I1500" i="5"/>
  <c r="H1500" i="5"/>
  <c r="F1500" i="5"/>
  <c r="J1500" i="5"/>
  <c r="R1500" i="5"/>
  <c r="F1362" i="5"/>
  <c r="R1362" i="5"/>
  <c r="I1362" i="5"/>
  <c r="H1362" i="5"/>
  <c r="X1362" i="5"/>
  <c r="J1362" i="5"/>
  <c r="F1382" i="5"/>
  <c r="R1382" i="5"/>
  <c r="J1382" i="5"/>
  <c r="I1382" i="5"/>
  <c r="X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X1104" i="5"/>
  <c r="R1104" i="5"/>
  <c r="I1104" i="5"/>
  <c r="J1104" i="5"/>
  <c r="H1040" i="5"/>
  <c r="F1040" i="5"/>
  <c r="R1040" i="5"/>
  <c r="I1040" i="5"/>
  <c r="J1040" i="5"/>
  <c r="F1258" i="5"/>
  <c r="X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X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164" i="5"/>
  <c r="R339" i="5"/>
  <c r="H339" i="5"/>
  <c r="F339" i="5"/>
  <c r="J339" i="5"/>
  <c r="I339" i="5"/>
  <c r="R152" i="5"/>
  <c r="J212" i="5"/>
  <c r="I212" i="5"/>
  <c r="H212" i="5"/>
  <c r="F212" i="5"/>
  <c r="R212" i="5"/>
  <c r="R168" i="5"/>
  <c r="F44" i="6"/>
  <c r="H44" i="6"/>
  <c r="D44" i="6"/>
  <c r="F34" i="6"/>
  <c r="F39" i="6"/>
  <c r="F54" i="6"/>
  <c r="F65" i="6"/>
  <c r="F49" i="6"/>
  <c r="F29" i="6"/>
  <c r="H29" i="6"/>
  <c r="F2430" i="5"/>
  <c r="R2430" i="5"/>
  <c r="J2430" i="5"/>
  <c r="I2430" i="5"/>
  <c r="H2430" i="5"/>
  <c r="D6" i="6"/>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X2230" i="5"/>
  <c r="J2231" i="5"/>
  <c r="I2231" i="5"/>
  <c r="H2231" i="5"/>
  <c r="F2231" i="5"/>
  <c r="R2231" i="5"/>
  <c r="J2183" i="5"/>
  <c r="I2183" i="5"/>
  <c r="H2183" i="5"/>
  <c r="F2183" i="5"/>
  <c r="R2183" i="5"/>
  <c r="I2163" i="5"/>
  <c r="H2163" i="5"/>
  <c r="F2163" i="5"/>
  <c r="X2163" i="5"/>
  <c r="R2163" i="5"/>
  <c r="J2163" i="5"/>
  <c r="F2106" i="5"/>
  <c r="X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X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X1922" i="5"/>
  <c r="J1896" i="5"/>
  <c r="R1896" i="5"/>
  <c r="I1896" i="5"/>
  <c r="H1896" i="5"/>
  <c r="F1896" i="5"/>
  <c r="R1743" i="5"/>
  <c r="J1743" i="5"/>
  <c r="I1743" i="5"/>
  <c r="F1743" i="5"/>
  <c r="H1743" i="5"/>
  <c r="I1740" i="5"/>
  <c r="F1740" i="5"/>
  <c r="R1740" i="5"/>
  <c r="H1740" i="5"/>
  <c r="J1740" i="5"/>
  <c r="I1730" i="5"/>
  <c r="H1730" i="5"/>
  <c r="F1730" i="5"/>
  <c r="X1730" i="5"/>
  <c r="R1730" i="5"/>
  <c r="J1730" i="5"/>
  <c r="I1714" i="5"/>
  <c r="H1714" i="5"/>
  <c r="F1714" i="5"/>
  <c r="X1714" i="5"/>
  <c r="R1714" i="5"/>
  <c r="J1714" i="5"/>
  <c r="I1698" i="5"/>
  <c r="H1698" i="5"/>
  <c r="F1698" i="5"/>
  <c r="R1698" i="5"/>
  <c r="J1698" i="5"/>
  <c r="I1682" i="5"/>
  <c r="H1682" i="5"/>
  <c r="F1682" i="5"/>
  <c r="X1682" i="5"/>
  <c r="R1682" i="5"/>
  <c r="J1682" i="5"/>
  <c r="I1666" i="5"/>
  <c r="H1666" i="5"/>
  <c r="F1666" i="5"/>
  <c r="X1666" i="5"/>
  <c r="R1666" i="5"/>
  <c r="J1666" i="5"/>
  <c r="I1650" i="5"/>
  <c r="H1650" i="5"/>
  <c r="F1650" i="5"/>
  <c r="R1650" i="5"/>
  <c r="J1650" i="5"/>
  <c r="I1634" i="5"/>
  <c r="H1634" i="5"/>
  <c r="F1634" i="5"/>
  <c r="R1634" i="5"/>
  <c r="J1634" i="5"/>
  <c r="F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X1150"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X1334" i="5"/>
  <c r="R1334" i="5"/>
  <c r="J1334" i="5"/>
  <c r="I1334" i="5"/>
  <c r="H1334" i="5"/>
  <c r="F1326" i="5"/>
  <c r="X1326" i="5"/>
  <c r="R1326" i="5"/>
  <c r="J1326" i="5"/>
  <c r="I1326" i="5"/>
  <c r="H1326" i="5"/>
  <c r="F1318" i="5"/>
  <c r="X1318" i="5"/>
  <c r="R1318" i="5"/>
  <c r="J1318" i="5"/>
  <c r="I1318" i="5"/>
  <c r="H1318" i="5"/>
  <c r="F1310" i="5"/>
  <c r="R1310" i="5"/>
  <c r="J1310" i="5"/>
  <c r="I1310" i="5"/>
  <c r="H1310" i="5"/>
  <c r="F1302" i="5"/>
  <c r="X1302" i="5"/>
  <c r="R1302" i="5"/>
  <c r="J1302" i="5"/>
  <c r="I1302" i="5"/>
  <c r="H1302" i="5"/>
  <c r="F1294" i="5"/>
  <c r="X1294" i="5"/>
  <c r="R1294" i="5"/>
  <c r="J1294" i="5"/>
  <c r="I1294" i="5"/>
  <c r="H1294" i="5"/>
  <c r="F1286" i="5"/>
  <c r="R1286" i="5"/>
  <c r="J1286" i="5"/>
  <c r="I1286" i="5"/>
  <c r="H1286" i="5"/>
  <c r="F1278" i="5"/>
  <c r="X1278" i="5"/>
  <c r="R1278" i="5"/>
  <c r="J1278" i="5"/>
  <c r="I1278" i="5"/>
  <c r="H1278" i="5"/>
  <c r="F1270" i="5"/>
  <c r="X1270" i="5"/>
  <c r="R1270" i="5"/>
  <c r="J1270" i="5"/>
  <c r="I1270" i="5"/>
  <c r="H1270" i="5"/>
  <c r="R944" i="5"/>
  <c r="J944" i="5"/>
  <c r="I944" i="5"/>
  <c r="F944" i="5"/>
  <c r="H944" i="5"/>
  <c r="F1262" i="5"/>
  <c r="X1262" i="5"/>
  <c r="R1262" i="5"/>
  <c r="J1262" i="5"/>
  <c r="I1262" i="5"/>
  <c r="H1262" i="5"/>
  <c r="J1021" i="5"/>
  <c r="I1021" i="5"/>
  <c r="H1021" i="5"/>
  <c r="F1021" i="5"/>
  <c r="R1021" i="5"/>
  <c r="R946" i="5"/>
  <c r="I946" i="5"/>
  <c r="J946" i="5"/>
  <c r="H946" i="5"/>
  <c r="F946" i="5"/>
  <c r="R958" i="5"/>
  <c r="J958" i="5"/>
  <c r="I958" i="5"/>
  <c r="F958" i="5"/>
  <c r="H958" i="5"/>
  <c r="I1347" i="5"/>
  <c r="X1347" i="5"/>
  <c r="R1347" i="5"/>
  <c r="J1347" i="5"/>
  <c r="H1347" i="5"/>
  <c r="F1347" i="5"/>
  <c r="R950" i="5"/>
  <c r="J950" i="5"/>
  <c r="I950" i="5"/>
  <c r="H950" i="5"/>
  <c r="F950" i="5"/>
  <c r="X950" i="5"/>
  <c r="R1153" i="5"/>
  <c r="J1153" i="5"/>
  <c r="I1153" i="5"/>
  <c r="H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R849" i="5"/>
  <c r="I849" i="5"/>
  <c r="J849" i="5"/>
  <c r="H849" i="5"/>
  <c r="I649" i="5"/>
  <c r="H649" i="5"/>
  <c r="F649" i="5"/>
  <c r="R649" i="5"/>
  <c r="J649" i="5"/>
  <c r="I617" i="5"/>
  <c r="H617" i="5"/>
  <c r="F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R108" i="5"/>
  <c r="R128" i="5"/>
  <c r="R136" i="5"/>
  <c r="J320" i="5"/>
  <c r="F320" i="5"/>
  <c r="R320" i="5"/>
  <c r="I320" i="5"/>
  <c r="H320" i="5"/>
  <c r="R112" i="5"/>
  <c r="S566" i="5"/>
  <c r="S412" i="5"/>
  <c r="S363" i="5"/>
  <c r="S226" i="5"/>
  <c r="S542" i="5"/>
  <c r="S360" i="5"/>
  <c r="S482" i="5"/>
  <c r="S546" i="5"/>
  <c r="S117" i="5"/>
  <c r="S353" i="5"/>
  <c r="S563" i="5"/>
  <c r="S459" i="5"/>
  <c r="S278" i="5"/>
  <c r="S222" i="5"/>
  <c r="S327" i="5"/>
  <c r="S311" i="5"/>
  <c r="S373" i="5"/>
  <c r="S499" i="5"/>
  <c r="S455" i="5"/>
  <c r="S495" i="5"/>
  <c r="S508" i="5"/>
  <c r="S384" i="5"/>
  <c r="S523" i="5"/>
  <c r="S332" i="5"/>
  <c r="S535" i="5"/>
  <c r="S476" i="5"/>
  <c r="S336" i="5"/>
  <c r="S214" i="5"/>
  <c r="S329" i="5"/>
  <c r="S198" i="5"/>
  <c r="S371" i="5"/>
  <c r="S114" i="5"/>
  <c r="S351" i="5"/>
  <c r="S231" i="5"/>
  <c r="S286" i="5"/>
  <c r="S270" i="5"/>
  <c r="S238" i="5"/>
  <c r="S109" i="5"/>
  <c r="S245" i="5"/>
  <c r="S492" i="5"/>
  <c r="S322" i="5"/>
  <c r="S456" i="5"/>
  <c r="S376" i="5"/>
  <c r="S504" i="5"/>
  <c r="S323" i="5"/>
  <c r="S483" i="5"/>
  <c r="S488" i="5"/>
  <c r="S590" i="5"/>
  <c r="S368" i="5"/>
  <c r="S530" i="5"/>
  <c r="S480" i="5"/>
  <c r="S234" i="5"/>
  <c r="S290" i="5"/>
  <c r="S110" i="5"/>
  <c r="S531" i="5"/>
  <c r="S399" i="5"/>
  <c r="S250" i="5"/>
  <c r="S345" i="5"/>
  <c r="S321" i="5"/>
  <c r="S528" i="5"/>
  <c r="S516" i="5"/>
  <c r="S594" i="5"/>
  <c r="S507" i="5"/>
  <c r="S333" i="5"/>
  <c r="S451" i="5"/>
  <c r="S335" i="5"/>
  <c r="S205" i="5"/>
  <c r="S118" i="5"/>
  <c r="S317" i="5"/>
  <c r="S582" i="5"/>
  <c r="S500" i="5"/>
  <c r="S347" i="5"/>
  <c r="S512" i="5"/>
  <c r="S221" i="5"/>
  <c r="S503" i="5"/>
  <c r="S478" i="5"/>
  <c r="S326" i="5"/>
  <c r="S514" i="5"/>
  <c r="S558" i="5"/>
  <c r="S230" i="5"/>
  <c r="S387" i="5"/>
  <c r="S559" i="5"/>
  <c r="S487" i="5"/>
  <c r="S551" i="5"/>
  <c r="S294" i="5"/>
  <c r="S202" i="5"/>
  <c r="S519" i="5"/>
  <c r="S209" i="5"/>
  <c r="S253" i="5"/>
  <c r="S258" i="5"/>
  <c r="S319" i="5"/>
  <c r="S249" i="5"/>
  <c r="S547" i="5"/>
  <c r="S273" i="5"/>
  <c r="S544" i="5"/>
  <c r="S526" i="5"/>
  <c r="S318" i="5"/>
  <c r="S233" i="5"/>
  <c r="S241" i="5"/>
  <c r="S379" i="5"/>
  <c r="S331" i="5"/>
  <c r="S282" i="5"/>
  <c r="S274" i="5"/>
  <c r="S217" i="5"/>
  <c r="S218" i="5"/>
  <c r="S285" i="5"/>
  <c r="S266" i="5"/>
  <c r="S540" i="5"/>
  <c r="S520" i="5"/>
  <c r="S550" i="5"/>
  <c r="S338" i="5"/>
  <c r="S536" i="5"/>
  <c r="S310" i="5"/>
  <c r="S498" i="5"/>
  <c r="S484" i="5"/>
  <c r="S471" i="5"/>
  <c r="S298" i="5"/>
  <c r="S515" i="5"/>
  <c r="S289" i="5"/>
  <c r="S313" i="5"/>
  <c r="S242" i="5"/>
  <c r="S307" i="5"/>
  <c r="S337" i="5"/>
  <c r="S555" i="5"/>
  <c r="S570" i="5"/>
  <c r="S301" i="5"/>
  <c r="S246" i="5"/>
  <c r="S254" i="5"/>
  <c r="S206" i="5"/>
  <c r="S325" i="5"/>
  <c r="S527" i="5"/>
  <c r="S369" i="5"/>
  <c r="S381" i="5"/>
  <c r="S309" i="5"/>
  <c r="X354" i="5"/>
  <c r="S597" i="5"/>
  <c r="S599" i="5"/>
  <c r="X346" i="5"/>
  <c r="X140" i="5"/>
  <c r="X502" i="5"/>
  <c r="S611" i="5"/>
  <c r="X398" i="5"/>
  <c r="X538" i="5"/>
  <c r="S601" i="5"/>
  <c r="X402" i="5"/>
  <c r="X466" i="5"/>
  <c r="X486" i="5"/>
  <c r="X152" i="5"/>
  <c r="X180" i="5"/>
  <c r="X410" i="5"/>
  <c r="X176" i="5"/>
  <c r="X362" i="5"/>
  <c r="X522" i="5"/>
  <c r="X378" i="5"/>
  <c r="X151" i="5"/>
  <c r="X91" i="5"/>
  <c r="X103" i="5"/>
  <c r="X578" i="5"/>
  <c r="X454" i="5"/>
  <c r="X406" i="5"/>
  <c r="X188" i="5"/>
  <c r="X370" i="5"/>
  <c r="X565" i="5"/>
  <c r="X366" i="5"/>
  <c r="X506" i="5"/>
  <c r="S600" i="5"/>
  <c r="X108" i="5"/>
  <c r="X112" i="5"/>
  <c r="X168" i="5"/>
  <c r="X164" i="5"/>
  <c r="X446" i="5"/>
  <c r="X144" i="5"/>
  <c r="X382" i="5"/>
  <c r="S382" i="5"/>
  <c r="X256" i="5"/>
  <c r="X288" i="5"/>
  <c r="X390" i="5"/>
  <c r="X525" i="5"/>
  <c r="X490" i="5"/>
  <c r="X116" i="5"/>
  <c r="X268" i="5"/>
  <c r="X300" i="5"/>
  <c r="X469" i="5"/>
  <c r="X334" i="5"/>
  <c r="X194" i="5"/>
  <c r="X306" i="5"/>
  <c r="X115" i="5"/>
  <c r="S533" i="5"/>
  <c r="X438" i="5"/>
  <c r="X148" i="5"/>
  <c r="X458" i="5"/>
  <c r="X534" i="5"/>
  <c r="S355" i="5"/>
  <c r="X330" i="5"/>
  <c r="X602" i="5"/>
  <c r="S602" i="5"/>
  <c r="X262" i="5"/>
  <c r="X350" i="5"/>
  <c r="X450" i="5"/>
  <c r="X156" i="5"/>
  <c r="X358" i="5"/>
  <c r="X434" i="5"/>
  <c r="X124" i="5"/>
  <c r="S603" i="5"/>
  <c r="X184" i="5"/>
  <c r="X104" i="5"/>
  <c r="X228" i="5"/>
  <c r="X374" i="5"/>
  <c r="X394" i="5"/>
  <c r="S605" i="5"/>
  <c r="X163" i="5"/>
  <c r="X102" i="5"/>
  <c r="X128" i="5"/>
  <c r="X422" i="5"/>
  <c r="X172" i="5"/>
  <c r="X554" i="5"/>
  <c r="S607" i="5"/>
  <c r="X426" i="5"/>
  <c r="X557" i="5"/>
  <c r="X442" i="5"/>
  <c r="X132" i="5"/>
  <c r="X43" i="5"/>
  <c r="X87" i="5"/>
  <c r="X314" i="5"/>
  <c r="S314" i="5"/>
  <c r="X136" i="5"/>
  <c r="X414" i="5"/>
  <c r="X160" i="5"/>
  <c r="X120" i="5"/>
  <c r="X239" i="5"/>
  <c r="X608" i="5"/>
  <c r="X71" i="5"/>
  <c r="X574" i="5"/>
  <c r="H39" i="6"/>
  <c r="D39" i="6"/>
  <c r="H26" i="6"/>
  <c r="H24" i="6"/>
  <c r="H35" i="6"/>
  <c r="D35" i="6"/>
  <c r="H40" i="6"/>
  <c r="D40" i="6"/>
  <c r="H46" i="6"/>
  <c r="D46" i="6"/>
  <c r="H31" i="6"/>
  <c r="D29" i="6"/>
  <c r="H30" i="6"/>
  <c r="AB12" i="5"/>
  <c r="AB9" i="5"/>
  <c r="AB10" i="5"/>
  <c r="AB14" i="5"/>
  <c r="AB17" i="5"/>
  <c r="AB16" i="5"/>
  <c r="AB8" i="5"/>
  <c r="AB13" i="5"/>
  <c r="AB15" i="5"/>
  <c r="AB11" i="5"/>
  <c r="AB7" i="5"/>
  <c r="H49" i="6"/>
  <c r="D49" i="6"/>
  <c r="H34" i="6"/>
  <c r="H32" i="6"/>
  <c r="D19" i="6"/>
  <c r="K65" i="6"/>
  <c r="D24" i="6"/>
  <c r="X100" i="5"/>
  <c r="D27" i="6"/>
  <c r="C41" i="6"/>
  <c r="D20" i="6"/>
  <c r="C2" i="6"/>
  <c r="B2" i="6"/>
  <c r="F57" i="6"/>
  <c r="H57" i="6"/>
  <c r="H54" i="6"/>
  <c r="F62" i="6"/>
  <c r="H62" i="6"/>
  <c r="F58" i="6"/>
  <c r="H58" i="6"/>
  <c r="F60" i="6"/>
  <c r="H60" i="6"/>
  <c r="F63" i="6"/>
  <c r="H63" i="6"/>
  <c r="F59" i="6"/>
  <c r="H59" i="6"/>
  <c r="F55" i="6"/>
  <c r="D25" i="6"/>
  <c r="C25" i="6"/>
  <c r="D26" i="6"/>
  <c r="D21" i="6"/>
  <c r="D22" i="6"/>
  <c r="H47" i="6"/>
  <c r="D47" i="6"/>
  <c r="S430" i="5"/>
  <c r="S443" i="5"/>
  <c r="S324" i="5"/>
  <c r="S419" i="5"/>
  <c r="S240" i="5"/>
  <c r="S589" i="5"/>
  <c r="S220" i="5"/>
  <c r="S521" i="5"/>
  <c r="S472" i="5"/>
  <c r="S296" i="5"/>
  <c r="S276" i="5"/>
  <c r="S596" i="5"/>
  <c r="S496" i="5"/>
  <c r="S212" i="5"/>
  <c r="S366" i="5"/>
  <c r="S591" i="5"/>
  <c r="S439" i="5"/>
  <c r="S365" i="5"/>
  <c r="S403" i="5"/>
  <c r="S569" i="5"/>
  <c r="S553"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339" i="5"/>
  <c r="S370" i="5"/>
  <c r="S517" i="5"/>
  <c r="S204" i="5"/>
  <c r="S423" i="5"/>
  <c r="S108" i="5"/>
  <c r="S308" i="5"/>
  <c r="S208" i="5"/>
  <c r="S288" i="5"/>
  <c r="S475" i="5"/>
  <c r="S236" i="5"/>
  <c r="S529" i="5"/>
  <c r="S334" i="5"/>
  <c r="S306" i="5"/>
  <c r="S458" i="5"/>
  <c r="S386" i="5"/>
  <c r="S534" i="5"/>
  <c r="S330" i="5"/>
  <c r="S262" i="5"/>
  <c r="S587" i="5"/>
  <c r="S260" i="5"/>
  <c r="S554" i="5"/>
  <c r="S509" i="5"/>
  <c r="S201" i="5"/>
  <c r="S522" i="5"/>
  <c r="S281" i="5"/>
  <c r="S565" i="5"/>
  <c r="S328" i="5"/>
  <c r="S447" i="5"/>
  <c r="S481" i="5"/>
  <c r="S200" i="5"/>
  <c r="S367" i="5"/>
  <c r="S268" i="5"/>
  <c r="S592" i="5"/>
  <c r="S438" i="5"/>
  <c r="S545" i="5"/>
  <c r="S391" i="5"/>
  <c r="S450" i="5"/>
  <c r="S442" i="5"/>
  <c r="S272" i="5"/>
  <c r="S415" i="5"/>
  <c r="S228" i="5"/>
  <c r="S435" i="5"/>
  <c r="S196" i="5"/>
  <c r="S414" i="5"/>
  <c r="S462" i="5"/>
  <c r="S502" i="5"/>
  <c r="S538" i="5"/>
  <c r="S340" i="5"/>
  <c r="S486" i="5"/>
  <c r="S407" i="5"/>
  <c r="S232" i="5"/>
  <c r="S410" i="5"/>
  <c r="S567" i="5"/>
  <c r="S578" i="5"/>
  <c r="S454" i="5"/>
  <c r="S595" i="5"/>
  <c r="S191" i="5"/>
  <c r="S490" i="5"/>
  <c r="S431" i="5"/>
  <c r="S297" i="5"/>
  <c r="S513" i="5"/>
  <c r="S350" i="5"/>
  <c r="S358" i="5"/>
  <c r="S292" i="5"/>
  <c r="S279" i="5"/>
  <c r="S418" i="5"/>
  <c r="S557" i="5"/>
  <c r="S303" i="5"/>
  <c r="S556" i="5"/>
  <c r="S284" i="5"/>
  <c r="S549" i="5"/>
  <c r="S581" i="5"/>
  <c r="S580" i="5"/>
  <c r="S120" i="5"/>
  <c r="S252" i="5"/>
  <c r="S411" i="5"/>
  <c r="S112" i="5"/>
  <c r="S446" i="5"/>
  <c r="S224" i="5"/>
  <c r="S537" i="5"/>
  <c r="S300" i="5"/>
  <c r="S207" i="5"/>
  <c r="S485" i="5"/>
  <c r="S541" i="5"/>
  <c r="S573" i="5"/>
  <c r="S248" i="5"/>
  <c r="S374" i="5"/>
  <c r="S426" i="5"/>
  <c r="S501" i="5"/>
  <c r="S215" i="5"/>
  <c r="S460" i="5"/>
  <c r="S293" i="5"/>
  <c r="S265" i="5"/>
  <c r="S561" i="5"/>
  <c r="S312" i="5"/>
  <c r="S280" i="5"/>
  <c r="S422" i="5"/>
  <c r="S574" i="5"/>
  <c r="S261" i="5"/>
  <c r="S505" i="5"/>
  <c r="S346" i="5"/>
  <c r="S577" i="5"/>
  <c r="S466" i="5"/>
  <c r="S427" i="5"/>
  <c r="S264" i="5"/>
  <c r="S518" i="5"/>
  <c r="S244" i="5"/>
  <c r="S524" i="5"/>
  <c r="S320" i="5"/>
  <c r="S406" i="5"/>
  <c r="S359" i="5"/>
  <c r="S506" i="5"/>
  <c r="S251" i="5"/>
  <c r="S243" i="5"/>
  <c r="S316" i="5"/>
  <c r="S390" i="5"/>
  <c r="S305" i="5"/>
  <c r="S395" i="5"/>
  <c r="S609" i="5"/>
  <c r="S575" i="5"/>
  <c r="S497" i="5"/>
  <c r="S434" i="5"/>
  <c r="S211" i="5"/>
  <c r="S474" i="5"/>
  <c r="S585" i="5"/>
  <c r="S583" i="5"/>
  <c r="S588" i="5"/>
  <c r="S489" i="5"/>
  <c r="S593" i="5"/>
  <c r="D34" i="6"/>
  <c r="D31" i="6"/>
  <c r="D30" i="6"/>
  <c r="D32" i="6"/>
  <c r="R16" i="5"/>
  <c r="R10" i="5"/>
  <c r="R13" i="5"/>
  <c r="R7" i="5"/>
  <c r="R17" i="5"/>
  <c r="R12" i="5"/>
  <c r="R9" i="5"/>
  <c r="R8" i="5"/>
  <c r="R15" i="5"/>
  <c r="R11" i="5"/>
  <c r="R14" i="5"/>
  <c r="D60" i="6"/>
  <c r="D58" i="6"/>
  <c r="D63" i="6"/>
  <c r="D62" i="6"/>
  <c r="C54" i="6"/>
  <c r="D54" i="6"/>
  <c r="D57" i="6"/>
  <c r="F56" i="6"/>
  <c r="H56" i="6"/>
  <c r="H55" i="6"/>
  <c r="D59" i="6"/>
  <c r="X13" i="5"/>
  <c r="X10" i="5"/>
  <c r="X9" i="5"/>
  <c r="X12" i="5"/>
  <c r="X14" i="5"/>
  <c r="X17" i="5"/>
  <c r="X11" i="5"/>
  <c r="X15" i="5"/>
  <c r="X8" i="5"/>
  <c r="X7" i="5"/>
  <c r="X16" i="5"/>
  <c r="D55" i="6"/>
  <c r="D56" i="6"/>
  <c r="S184" i="5"/>
  <c r="S170" i="5"/>
  <c r="S125" i="5"/>
  <c r="S106" i="5"/>
  <c r="S28" i="5"/>
  <c r="S29" i="5"/>
  <c r="S26" i="5"/>
  <c r="S31" i="5"/>
  <c r="S187" i="5"/>
  <c r="S134" i="5"/>
  <c r="S97" i="5"/>
  <c r="S32" i="5"/>
  <c r="S35" i="5"/>
  <c r="S107" i="5"/>
  <c r="S172" i="5"/>
  <c r="S33" i="5"/>
  <c r="S30" i="5"/>
  <c r="S190" i="5"/>
  <c r="S62" i="5"/>
  <c r="S68" i="5"/>
  <c r="S73" i="5"/>
  <c r="S123" i="5"/>
  <c r="S82" i="5"/>
  <c r="S186" i="5"/>
  <c r="S161" i="5"/>
  <c r="S150" i="5"/>
  <c r="S93" i="5"/>
  <c r="S36" i="5"/>
  <c r="S37" i="5"/>
  <c r="S34" i="5"/>
  <c r="S39" i="5"/>
  <c r="S96" i="5"/>
  <c r="S189" i="5"/>
  <c r="S153" i="5"/>
  <c r="S129" i="5"/>
  <c r="S90" i="5"/>
  <c r="S40" i="5"/>
  <c r="S41" i="5"/>
  <c r="S38" i="5"/>
  <c r="S43" i="5"/>
  <c r="S166" i="5"/>
  <c r="S149" i="5"/>
  <c r="S44" i="5"/>
  <c r="S45" i="5"/>
  <c r="S47" i="5"/>
  <c r="S142" i="5"/>
  <c r="S53" i="5"/>
  <c r="S55" i="5"/>
  <c r="S56" i="5"/>
  <c r="S159" i="5"/>
  <c r="S63" i="5"/>
  <c r="S105" i="5"/>
  <c r="S147" i="5"/>
  <c r="S71" i="5"/>
  <c r="S72" i="5"/>
  <c r="S77" i="5"/>
  <c r="S154" i="5"/>
  <c r="S146" i="5"/>
  <c r="S185" i="5"/>
  <c r="S92" i="5"/>
  <c r="S42" i="5"/>
  <c r="S183" i="5"/>
  <c r="S52" i="5"/>
  <c r="S169" i="5"/>
  <c r="S138" i="5"/>
  <c r="S64" i="5"/>
  <c r="S168" i="5"/>
  <c r="S66" i="5"/>
  <c r="S75" i="5"/>
  <c r="S84" i="5"/>
  <c r="S180" i="5"/>
  <c r="S155" i="5"/>
  <c r="S135" i="5"/>
  <c r="S95" i="5"/>
  <c r="S48" i="5"/>
  <c r="S49" i="5"/>
  <c r="S46" i="5"/>
  <c r="S51" i="5"/>
  <c r="S156" i="5"/>
  <c r="S50" i="5"/>
  <c r="S148" i="5"/>
  <c r="S57" i="5"/>
  <c r="S60" i="5"/>
  <c r="S157" i="5"/>
  <c r="S67" i="5"/>
  <c r="S98" i="5"/>
  <c r="S131" i="5"/>
  <c r="S152" i="5"/>
  <c r="S139" i="5"/>
  <c r="S99" i="5"/>
  <c r="S178" i="5"/>
  <c r="S59" i="5"/>
  <c r="S177" i="5"/>
  <c r="S140" i="5"/>
  <c r="S69" i="5"/>
  <c r="S164" i="5"/>
  <c r="S171" i="5"/>
  <c r="S103" i="5"/>
  <c r="S54" i="5"/>
  <c r="S61" i="5"/>
  <c r="S65" i="5"/>
  <c r="S181" i="5"/>
  <c r="S70" i="5"/>
  <c r="S124" i="5"/>
  <c r="S83" i="5"/>
  <c r="S167" i="5"/>
  <c r="S58" i="5"/>
  <c r="S101" i="5"/>
  <c r="S91" i="5"/>
  <c r="S74" i="5"/>
  <c r="S80" i="5"/>
  <c r="S87" i="5"/>
  <c r="S165" i="5"/>
  <c r="S126" i="5"/>
  <c r="S141" i="5"/>
  <c r="S102" i="5"/>
  <c r="S88" i="5"/>
  <c r="S89" i="5"/>
  <c r="S86" i="5"/>
  <c r="S162" i="5"/>
  <c r="S122" i="5"/>
  <c r="S121" i="5"/>
  <c r="S104" i="5"/>
  <c r="G64" i="6" a="1"/>
  <c r="S5" i="5"/>
  <c r="S7" i="5"/>
  <c r="S160" i="5"/>
  <c r="S143" i="5"/>
  <c r="S17" i="5"/>
  <c r="S19" i="5"/>
  <c r="S176" i="5"/>
  <c r="S20" i="5"/>
  <c r="S21" i="5"/>
  <c r="S23" i="5"/>
  <c r="S179" i="5"/>
  <c r="S127" i="5"/>
  <c r="S24" i="5"/>
  <c r="S22" i="5"/>
  <c r="S76" i="5"/>
  <c r="S78" i="5"/>
  <c r="S130" i="5"/>
  <c r="S175" i="5"/>
  <c r="S158" i="5"/>
  <c r="S144" i="5"/>
  <c r="S128" i="5"/>
  <c r="S8" i="5"/>
  <c r="S9" i="5"/>
  <c r="S6" i="5"/>
  <c r="S11" i="5"/>
  <c r="S174" i="5"/>
  <c r="S173" i="5"/>
  <c r="S132" i="5"/>
  <c r="S145" i="5"/>
  <c r="S12" i="5"/>
  <c r="S13" i="5"/>
  <c r="S10" i="5"/>
  <c r="S15" i="5"/>
  <c r="S182" i="5"/>
  <c r="S133" i="5"/>
  <c r="S16" i="5"/>
  <c r="S14" i="5"/>
  <c r="S151" i="5"/>
  <c r="S136" i="5"/>
  <c r="S18" i="5"/>
  <c r="S163" i="5"/>
  <c r="S94" i="5"/>
  <c r="S25" i="5"/>
  <c r="S27" i="5"/>
  <c r="S188" i="5"/>
  <c r="S100" i="5"/>
  <c r="S81" i="5"/>
  <c r="S85" i="5"/>
  <c r="S137" i="5"/>
  <c r="S79" i="5"/>
  <c r="B51" i="4" l="1"/>
  <c r="A35" i="6" s="1"/>
  <c r="D67" i="4"/>
  <c r="D31" i="4"/>
  <c r="B68" i="4"/>
  <c r="A49" i="6" s="1"/>
  <c r="G67" i="6"/>
  <c r="H67" i="6" s="1"/>
  <c r="D67" i="6" s="1"/>
  <c r="B50" i="4"/>
  <c r="A34" i="6" s="1"/>
  <c r="B59" i="4"/>
  <c r="A42" i="6" s="1"/>
  <c r="B65" i="4"/>
  <c r="A47" i="6" s="1"/>
  <c r="G65" i="6"/>
  <c r="H65" i="6" s="1"/>
  <c r="D65" i="6" s="1"/>
  <c r="D49" i="4"/>
  <c r="D55" i="4"/>
  <c r="D61" i="4"/>
  <c r="B71" i="4"/>
  <c r="A52" i="6" s="1"/>
  <c r="B53" i="4"/>
  <c r="A37" i="6" s="1"/>
  <c r="G68" i="6"/>
  <c r="H68" i="6" s="1"/>
  <c r="C68" i="6" s="1"/>
  <c r="A14" i="6"/>
  <c r="B32" i="4"/>
  <c r="A19" i="6" s="1"/>
  <c r="B64" i="4"/>
  <c r="A46" i="6" s="1"/>
  <c r="A26" i="6"/>
  <c r="G66" i="6"/>
  <c r="H66" i="6" s="1"/>
  <c r="C66" i="6" s="1"/>
  <c r="B70" i="4"/>
  <c r="A51" i="6" s="1"/>
  <c r="B33" i="4"/>
  <c r="A20" i="6" s="1"/>
  <c r="D74" i="4"/>
  <c r="D37" i="4"/>
  <c r="A17" i="6"/>
  <c r="B35" i="4"/>
  <c r="A22" i="6" s="1"/>
  <c r="G67" i="4"/>
  <c r="G49" i="4"/>
  <c r="G43" i="4"/>
  <c r="G61" i="4"/>
  <c r="G74" i="4"/>
  <c r="B57" i="4"/>
  <c r="A40" i="6" s="1"/>
  <c r="G37" i="4"/>
  <c r="A25" i="6"/>
  <c r="G31" i="4"/>
  <c r="B56" i="4"/>
  <c r="A39" i="6" s="1"/>
  <c r="A24" i="6"/>
  <c r="G69" i="6" a="1"/>
  <c r="G69" i="6" s="1"/>
  <c r="H69" i="6" s="1"/>
  <c r="G64" i="6"/>
  <c r="B34" i="4"/>
  <c r="A21" i="6" s="1"/>
  <c r="T186" i="5"/>
  <c r="T165" i="5"/>
  <c r="T145" i="5"/>
  <c r="T104" i="5"/>
  <c r="T42" i="5"/>
  <c r="T52" i="5"/>
  <c r="T11" i="5"/>
  <c r="T54" i="5"/>
  <c r="T76" i="5"/>
  <c r="T190" i="5"/>
  <c r="T159" i="5"/>
  <c r="T147" i="5"/>
  <c r="T102" i="5"/>
  <c r="T10" i="5"/>
  <c r="T20" i="5"/>
  <c r="T62" i="5"/>
  <c r="T81" i="5"/>
  <c r="T30" i="5"/>
  <c r="T17" i="5"/>
  <c r="T8" i="5"/>
  <c r="T187" i="5"/>
  <c r="T170" i="5"/>
  <c r="T150" i="5"/>
  <c r="T96" i="5"/>
  <c r="T69" i="5"/>
  <c r="T86" i="5"/>
  <c r="T46" i="5"/>
  <c r="T181" i="5"/>
  <c r="T177" i="5"/>
  <c r="T167" i="5"/>
  <c r="T122" i="5"/>
  <c r="T94" i="5"/>
  <c r="T37" i="5"/>
  <c r="T63" i="5"/>
  <c r="T89" i="5"/>
  <c r="T40" i="5"/>
  <c r="T35" i="5"/>
  <c r="T184" i="5"/>
  <c r="T169" i="5"/>
  <c r="T128" i="5"/>
  <c r="T103" i="5"/>
  <c r="T60" i="5"/>
  <c r="T50" i="5"/>
  <c r="T57" i="5"/>
  <c r="T31" i="5"/>
  <c r="T25" i="5"/>
  <c r="T77" i="5"/>
  <c r="T27" i="5"/>
  <c r="T178" i="5"/>
  <c r="T163" i="5"/>
  <c r="T140" i="5"/>
  <c r="T99" i="5"/>
  <c r="T28" i="5"/>
  <c r="T79" i="5"/>
  <c r="T80" i="5"/>
  <c r="T43" i="5"/>
  <c r="T179" i="5"/>
  <c r="T154" i="5"/>
  <c r="T134" i="5"/>
  <c r="T95" i="5"/>
  <c r="T65" i="5"/>
  <c r="T47" i="5"/>
  <c r="T68" i="5"/>
  <c r="T183" i="5"/>
  <c r="T166" i="5"/>
  <c r="T126" i="5"/>
  <c r="T97" i="5"/>
  <c r="T33" i="5"/>
  <c r="T15" i="5"/>
  <c r="T48" i="5"/>
  <c r="T70" i="5"/>
  <c r="T176" i="5"/>
  <c r="T173" i="5"/>
  <c r="T121" i="5"/>
  <c r="T107" i="5"/>
  <c r="T88" i="5"/>
  <c r="T66" i="5"/>
  <c r="T16" i="5"/>
  <c r="T49" i="5"/>
  <c r="T132" i="5"/>
  <c r="T23" i="5"/>
  <c r="T172" i="5"/>
  <c r="T174" i="5"/>
  <c r="T156" i="5"/>
  <c r="T138" i="5"/>
  <c r="T106" i="5"/>
  <c r="T24" i="5"/>
  <c r="T22" i="5"/>
  <c r="T58" i="5"/>
  <c r="T143" i="5"/>
  <c r="T180" i="5"/>
  <c r="T151" i="5"/>
  <c r="T141" i="5"/>
  <c r="T101" i="5"/>
  <c r="T34" i="5"/>
  <c r="T72" i="5"/>
  <c r="T85" i="5"/>
  <c r="T45" i="5"/>
  <c r="T82" i="5"/>
  <c r="T53" i="5"/>
  <c r="T59" i="5"/>
  <c r="T78" i="5"/>
  <c r="T29" i="5"/>
  <c r="T67" i="5"/>
  <c r="T182" i="5"/>
  <c r="T171" i="5"/>
  <c r="T148" i="5"/>
  <c r="T100" i="5"/>
  <c r="T5" i="5"/>
  <c r="T21" i="5"/>
  <c r="T153" i="5"/>
  <c r="T185" i="5"/>
  <c r="T155" i="5"/>
  <c r="T127" i="5"/>
  <c r="T92" i="5"/>
  <c r="T83" i="5"/>
  <c r="T18" i="5"/>
  <c r="T98" i="5"/>
  <c r="T152" i="5"/>
  <c r="T160" i="5"/>
  <c r="T123" i="5"/>
  <c r="T91" i="5"/>
  <c r="T51" i="5"/>
  <c r="T13" i="5"/>
  <c r="T44" i="5"/>
  <c r="T41" i="5"/>
  <c r="T71" i="5"/>
  <c r="T75" i="5"/>
  <c r="T164" i="5"/>
  <c r="T136" i="5"/>
  <c r="T135" i="5"/>
  <c r="T90" i="5"/>
  <c r="T19" i="5"/>
  <c r="T36" i="5"/>
  <c r="T64" i="5"/>
  <c r="T124" i="5"/>
  <c r="T39" i="5"/>
  <c r="T74" i="5"/>
  <c r="T158" i="5"/>
  <c r="T149" i="5"/>
  <c r="T125" i="5"/>
  <c r="T93" i="5"/>
  <c r="T38" i="5"/>
  <c r="T14" i="5"/>
  <c r="T7" i="5"/>
  <c r="T9" i="5"/>
  <c r="T129" i="5"/>
  <c r="T168" i="5"/>
  <c r="T146" i="5"/>
  <c r="T130" i="5"/>
  <c r="T105" i="5"/>
  <c r="T6" i="5"/>
  <c r="T73" i="5"/>
  <c r="T26" i="5"/>
  <c r="T188" i="5"/>
  <c r="T161" i="5"/>
  <c r="T133" i="5"/>
  <c r="T142" i="5"/>
  <c r="T87" i="5"/>
  <c r="T56" i="5"/>
  <c r="T139" i="5"/>
  <c r="T84" i="5"/>
  <c r="T189" i="5"/>
  <c r="T162" i="5"/>
  <c r="T131" i="5"/>
  <c r="T137" i="5"/>
  <c r="T55" i="5"/>
  <c r="T61" i="5"/>
  <c r="T32" i="5"/>
  <c r="T12" i="5"/>
  <c r="T175" i="5"/>
  <c r="T157" i="5"/>
  <c r="T144" i="5"/>
  <c r="C67" i="6" l="1"/>
  <c r="D68" i="6"/>
  <c r="C65" i="6"/>
  <c r="D66" i="6"/>
  <c r="B64" i="6"/>
  <c r="H64" i="6"/>
  <c r="D64" i="6" l="1"/>
  <c r="C64"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<sst xmlns="http://schemas.openxmlformats.org/spreadsheetml/2006/main" count="24054" uniqueCount="15897">
  <si>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</si>
  <si>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</si>
  <si>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</si>
  <si>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</si>
  <si>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</si>
  <si>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</si>
  <si>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</si>
  <si>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</si>
  <si>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</si>
  <si>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</si>
  <si>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</si>
  <si>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</si>
  <si>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</si>
  <si>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</si>
  <si>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</si>
  <si>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</si>
  <si>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</si>
  <si>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</si>
  <si>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</si>
  <si>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</si>
  <si>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</si>
  <si>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</si>
  <si>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</si>
  <si>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</si>
  <si>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</si>
  <si>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</si>
  <si>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</si>
  <si>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</si>
  <si>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</si>
  <si>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</si>
  <si>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</si>
  <si>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</si>
  <si>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</si>
  <si>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</si>
  <si>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</si>
  <si>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</si>
  <si>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</si>
  <si>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</si>
  <si>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</si>
  <si>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</si>
  <si>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</si>
  <si>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</si>
  <si>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</si>
  <si>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</si>
  <si>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</si>
  <si>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</si>
  <si>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</si>
  <si>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</si>
  <si>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</si>
  <si>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</si>
  <si>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</si>
  <si>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</si>
  <si>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</si>
  <si>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</si>
  <si>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</si>
  <si>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</si>
  <si>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</si>
  <si>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</si>
  <si>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</si>
  <si>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</si>
  <si>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</si>
  <si>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</si>
  <si>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</si>
  <si>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</si>
  <si>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</si>
  <si>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</si>
  <si>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</si>
  <si>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</si>
  <si>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</si>
  <si>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</si>
  <si>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</si>
  <si>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</si>
  <si>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</si>
  <si>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</si>
  <si>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</si>
  <si>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</si>
  <si>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</si>
  <si>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</si>
  <si>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</si>
  <si>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</si>
  <si>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</si>
  <si>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</si>
  <si>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</si>
  <si>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</si>
  <si>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</si>
  <si>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</si>
  <si>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</si>
  <si>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</si>
  <si>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</si>
  <si>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</si>
  <si>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</si>
  <si>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</si>
  <si>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</si>
  <si>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</si>
  <si>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</si>
  <si>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</si>
  <si>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</si>
  <si>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</si>
  <si>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</si>
  <si>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</si>
  <si>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</si>
  <si>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</si>
  <si>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</si>
  <si>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</si>
  <si>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</si>
  <si>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</si>
  <si>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</si>
  <si>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</si>
  <si>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</si>
  <si>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</si>
  <si>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</si>
  <si>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</si>
  <si>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</si>
  <si>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</si>
  <si>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</si>
  <si>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</si>
  <si>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</si>
  <si>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</si>
  <si>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</si>
  <si>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</si>
  <si>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</si>
  <si>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</si>
  <si>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</si>
  <si>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</si>
  <si>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</si>
  <si>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</si>
  <si>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</si>
  <si>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</si>
  <si>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</si>
  <si>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</si>
  <si>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</si>
  <si>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</si>
  <si>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</si>
  <si>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</si>
  <si>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</si>
  <si>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</si>
  <si>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</si>
  <si>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</si>
  <si>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</si>
  <si>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</si>
  <si>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</si>
  <si>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</si>
  <si>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</si>
  <si>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</si>
  <si>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</si>
  <si>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</si>
  <si>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</si>
  <si>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</si>
  <si>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</si>
  <si>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</si>
  <si>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</si>
  <si>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</si>
  <si>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</si>
  <si>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</si>
  <si>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</si>
  <si>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</si>
  <si>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</si>
  <si>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</si>
  <si>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</si>
  <si>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</si>
  <si>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</si>
  <si>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</si>
  <si>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</si>
  <si>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</si>
  <si>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</si>
  <si>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</si>
  <si>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</si>
  <si>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</si>
  <si>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</si>
  <si>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</si>
  <si>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</si>
  <si>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</si>
  <si>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</si>
  <si>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</si>
  <si>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</si>
  <si>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</si>
  <si>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</si>
  <si>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</si>
  <si>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</si>
  <si>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</si>
  <si>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</si>
  <si>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</si>
  <si>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</si>
  <si>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</si>
  <si>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</si>
  <si>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</si>
  <si>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</si>
  <si>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</si>
  <si>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</si>
  <si>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</si>
  <si>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</si>
  <si>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</si>
  <si>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</si>
  <si>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</si>
  <si>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</si>
  <si>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</si>
  <si>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</si>
  <si>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</si>
  <si>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</si>
  <si>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</si>
  <si>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</si>
  <si>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</si>
  <si>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</si>
  <si>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</si>
  <si>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</si>
  <si>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</si>
  <si>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</si>
  <si>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</si>
  <si>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</si>
  <si>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</si>
  <si>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</si>
  <si>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</si>
  <si>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</si>
  <si>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</si>
  <si>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</si>
  <si>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</si>
  <si>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</si>
  <si>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</si>
  <si>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</si>
  <si>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</si>
  <si>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</si>
  <si>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</si>
  <si>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</si>
  <si>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</si>
  <si>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</si>
  <si>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</si>
  <si>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</si>
  <si>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</si>
  <si>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</si>
  <si>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</si>
  <si>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</si>
  <si>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</si>
  <si>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</si>
  <si>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</si>
  <si>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</si>
  <si>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</si>
  <si>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</si>
  <si>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</si>
  <si>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</si>
  <si>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</si>
  <si>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</si>
  <si>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</si>
  <si>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</si>
  <si>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</si>
  <si>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</si>
  <si>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</si>
  <si>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</si>
  <si>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</si>
  <si>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</si>
  <si>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</si>
  <si>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</si>
  <si>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</si>
  <si>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</si>
  <si>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</si>
  <si>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</si>
  <si>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</si>
  <si>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</si>
  <si>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</si>
  <si>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</si>
  <si>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</si>
  <si>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</si>
  <si>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</si>
  <si>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</si>
  <si>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</si>
  <si>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</si>
  <si>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</si>
  <si>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</si>
  <si>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</si>
  <si>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</si>
  <si>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</si>
  <si>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</si>
  <si>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</si>
  <si>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</si>
  <si>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</si>
  <si>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</si>
  <si>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</si>
  <si>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</si>
  <si>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</si>
  <si>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</si>
  <si>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</si>
  <si>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</si>
  <si>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</si>
  <si>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</si>
  <si>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</si>
  <si>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</si>
  <si>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</si>
  <si>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</si>
  <si>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</si>
  <si>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</si>
  <si>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</si>
  <si>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</si>
  <si>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</si>
  <si>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</si>
  <si>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</si>
  <si>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</si>
  <si>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</si>
  <si>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</si>
  <si>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</si>
  <si>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</si>
  <si>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</si>
  <si>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</si>
  <si>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</si>
  <si>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</si>
  <si>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</si>
  <si>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</si>
  <si>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</si>
  <si>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</si>
  <si>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</si>
  <si>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</si>
  <si>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</si>
  <si>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</si>
  <si>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</si>
  <si>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</si>
  <si>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</si>
  <si>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</si>
  <si>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</si>
  <si>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</si>
  <si>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</si>
  <si>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</si>
  <si>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</si>
  <si>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</si>
  <si>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</si>
  <si>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</si>
  <si>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</si>
  <si>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</si>
  <si>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</si>
  <si>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</si>
  <si>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</si>
  <si>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</si>
  <si>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</si>
  <si>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</si>
  <si>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</si>
  <si>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</si>
  <si>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</si>
  <si>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</si>
  <si>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</si>
  <si>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</si>
  <si>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</si>
  <si>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</si>
  <si>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</si>
  <si>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</si>
  <si>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</si>
  <si>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</si>
  <si>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</si>
  <si>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</si>
  <si>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</si>
  <si>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</si>
  <si>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</si>
  <si>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</si>
  <si>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</si>
  <si>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</si>
  <si>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</si>
  <si>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</si>
  <si>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</si>
  <si>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</si>
  <si>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</si>
  <si>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</si>
  <si>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</si>
  <si>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</si>
  <si>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</si>
  <si>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</si>
  <si>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</si>
  <si>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</si>
  <si>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</si>
  <si>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</si>
  <si>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</si>
  <si>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</si>
  <si>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</si>
  <si>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</si>
  <si>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</si>
  <si>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</si>
  <si>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</si>
  <si>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</si>
  <si>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</si>
  <si>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</si>
  <si>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</si>
  <si>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</si>
  <si>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</si>
  <si>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</si>
  <si>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</si>
  <si>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</si>
  <si>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</si>
  <si>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</si>
  <si>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</si>
  <si>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</si>
  <si>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</si>
  <si>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</si>
  <si>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</si>
  <si>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</si>
  <si>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</si>
  <si>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</si>
  <si>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</si>
  <si>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</si>
  <si>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</si>
  <si>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</si>
  <si>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</si>
  <si>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</si>
  <si>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</si>
  <si>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</si>
  <si>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</si>
  <si>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</si>
  <si>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</si>
  <si>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</si>
  <si>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</si>
  <si>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</si>
  <si>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</si>
  <si>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</si>
  <si>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</si>
  <si>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</si>
  <si>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</si>
  <si>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</si>
  <si>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</si>
  <si>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</si>
  <si>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</si>
  <si>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</si>
  <si>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</si>
  <si>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</si>
  <si>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</si>
  <si>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</si>
  <si>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</si>
  <si>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</si>
  <si>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</si>
  <si>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</si>
  <si>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</si>
  <si>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</si>
  <si>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</si>
  <si>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</si>
  <si>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</si>
  <si>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</si>
  <si>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</si>
  <si>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</si>
  <si>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</si>
  <si>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</si>
  <si>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</si>
  <si>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</si>
  <si>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</si>
  <si>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</si>
  <si>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</si>
  <si>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</si>
  <si>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</si>
  <si>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</si>
  <si>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</si>
  <si>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</si>
  <si>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</si>
  <si>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</si>
  <si>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</si>
  <si>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</si>
  <si>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</si>
  <si>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</si>
  <si>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</si>
  <si>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</si>
  <si>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</si>
  <si>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</si>
  <si>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</si>
  <si>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</si>
  <si>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</si>
  <si>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</si>
  <si>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</si>
  <si>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</si>
  <si>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</si>
  <si>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</si>
  <si>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</si>
  <si>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</si>
  <si>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</si>
  <si>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</si>
  <si>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</si>
  <si>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</si>
  <si>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</si>
  <si>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</si>
  <si>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</si>
  <si>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</si>
  <si>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</si>
  <si>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</si>
  <si>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</si>
  <si>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</si>
  <si>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</si>
  <si>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</si>
  <si>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</si>
  <si>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</si>
  <si>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</si>
  <si>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</si>
  <si>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</si>
  <si>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</si>
  <si>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</si>
  <si>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</si>
  <si>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</si>
  <si>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</si>
  <si>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</si>
  <si>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</si>
  <si>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</si>
  <si>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</si>
  <si>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</si>
  <si>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</si>
  <si>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</si>
  <si>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</si>
  <si>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</si>
  <si>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</si>
  <si>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</si>
  <si>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</si>
  <si>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</si>
  <si>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</si>
  <si>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</si>
  <si>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</si>
  <si>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</si>
  <si>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</si>
  <si>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</si>
  <si>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</si>
  <si>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</si>
  <si>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</si>
  <si>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</si>
  <si>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</si>
  <si>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</si>
  <si>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</si>
  <si>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</si>
  <si>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</si>
  <si>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</si>
  <si>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</si>
  <si>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</si>
  <si>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</si>
  <si>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</si>
  <si>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</si>
  <si>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</si>
  <si>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</si>
  <si>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</si>
  <si>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</si>
  <si>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</si>
  <si>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</si>
  <si>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</si>
  <si>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</si>
  <si>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</si>
  <si>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</si>
  <si>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</si>
  <si>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</si>
  <si>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</si>
  <si>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</si>
  <si>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</si>
  <si>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</si>
  <si>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</si>
  <si>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</si>
  <si>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</si>
  <si>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</si>
  <si>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</si>
  <si>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</si>
  <si>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</si>
  <si>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</si>
  <si>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</si>
  <si>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</si>
  <si>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</si>
  <si>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</si>
  <si>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</si>
  <si>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</si>
  <si>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</si>
  <si>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</si>
  <si>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</si>
  <si>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</si>
  <si>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</si>
  <si>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</si>
  <si>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</si>
  <si>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</si>
  <si>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</si>
  <si>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</si>
  <si>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</si>
  <si>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</si>
  <si>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</si>
  <si>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</si>
  <si>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</si>
  <si>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</si>
  <si>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</si>
  <si>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</si>
  <si>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</si>
  <si>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</si>
  <si>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</si>
  <si>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</si>
  <si>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</si>
  <si>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</si>
  <si>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</si>
  <si>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</si>
  <si>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</si>
  <si>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</si>
  <si>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</si>
  <si>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</si>
  <si>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</si>
  <si>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</si>
  <si>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</si>
  <si>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</si>
  <si>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</si>
  <si>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</si>
  <si>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</si>
  <si>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</si>
  <si>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</si>
  <si>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</si>
  <si>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</si>
  <si>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</si>
  <si>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</si>
  <si>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</si>
  <si>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</si>
  <si>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</si>
  <si>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</si>
  <si>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</si>
  <si>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</si>
  <si>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</si>
  <si>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</si>
  <si>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</si>
  <si>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</si>
  <si>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</si>
  <si>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</si>
  <si>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</si>
  <si>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</si>
  <si>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</si>
  <si>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</si>
  <si>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</si>
  <si>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</si>
  <si>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</si>
  <si>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</si>
  <si>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</si>
  <si>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</si>
  <si>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</si>
  <si>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</si>
  <si>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</si>
  <si>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</si>
  <si>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</si>
  <si>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</si>
  <si>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</si>
  <si>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</si>
  <si>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</si>
  <si>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</si>
  <si>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</si>
  <si>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</si>
  <si>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</si>
  <si>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</si>
  <si>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</si>
  <si>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</si>
  <si>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</si>
  <si>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</si>
  <si>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</si>
  <si>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</si>
  <si>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</si>
  <si>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</si>
  <si>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</si>
  <si>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</si>
  <si>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</si>
  <si>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</si>
  <si>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</si>
  <si>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</si>
  <si>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</si>
  <si>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</si>
  <si>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</si>
  <si>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</si>
  <si>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</si>
  <si>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</si>
  <si>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</si>
  <si>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</si>
  <si>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</si>
  <si>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</si>
  <si>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</si>
  <si>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</si>
  <si>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</si>
  <si>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</si>
  <si>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</si>
  <si>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</si>
  <si>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</si>
  <si>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</si>
  <si>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</si>
  <si>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</si>
  <si>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</si>
  <si>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</si>
  <si>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</si>
  <si>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</si>
  <si>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</si>
  <si>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</si>
  <si>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</si>
  <si>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</si>
  <si>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</si>
  <si>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</si>
  <si>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</si>
  <si>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</si>
  <si>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</si>
  <si>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</si>
  <si>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</si>
  <si>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</si>
  <si>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</si>
  <si>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</si>
  <si>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</si>
  <si>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</si>
  <si>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</si>
  <si>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</si>
  <si>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</si>
  <si>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</si>
  <si>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</si>
  <si>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</si>
  <si>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</si>
  <si>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</si>
  <si>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</si>
  <si>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</si>
  <si>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</si>
  <si>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</si>
  <si>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</si>
  <si>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</si>
  <si>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</si>
  <si>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</si>
  <si>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</si>
  <si>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</si>
  <si>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</si>
  <si>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</si>
  <si>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</si>
  <si>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</si>
  <si>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</si>
  <si>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</si>
  <si>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</si>
  <si>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</si>
  <si>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</si>
  <si>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</si>
  <si>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</si>
  <si>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</si>
  <si>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</si>
  <si>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</si>
  <si>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</si>
  <si>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</si>
  <si>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</si>
  <si>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</si>
  <si>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</si>
  <si>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</si>
  <si>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</si>
  <si>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</si>
  <si>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</si>
  <si>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</si>
  <si>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</si>
  <si>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</si>
  <si>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</si>
  <si>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</si>
  <si>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</si>
  <si>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</si>
  <si>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</si>
  <si>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</si>
  <si>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</si>
  <si>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</si>
  <si>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</si>
  <si>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</si>
  <si>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</si>
  <si>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</si>
  <si>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</si>
  <si>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</si>
  <si>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</si>
  <si>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</si>
  <si>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</si>
  <si>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</si>
  <si>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</si>
  <si>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</si>
  <si>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</si>
  <si>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</si>
  <si>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</si>
  <si>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</si>
  <si>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</si>
  <si>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</si>
  <si>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</si>
  <si>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</si>
  <si>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</si>
  <si>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</si>
  <si>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</si>
  <si>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</si>
  <si>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</si>
  <si>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</si>
  <si>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</si>
  <si>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</si>
  <si>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</si>
  <si>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</si>
  <si>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</si>
  <si>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</si>
  <si>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</si>
  <si>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</si>
  <si>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</si>
  <si>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</si>
  <si>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</si>
  <si>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</si>
  <si>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</si>
  <si>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</si>
  <si>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</si>
  <si>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</si>
  <si>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</si>
  <si>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</si>
  <si>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</si>
  <si>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</si>
  <si>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</si>
  <si>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</si>
  <si>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</si>
  <si>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</si>
  <si>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</si>
  <si>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</si>
  <si>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</si>
  <si>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</si>
  <si>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</si>
  <si>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</si>
  <si>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</si>
  <si>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</si>
  <si>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</si>
  <si>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</si>
  <si>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</si>
  <si>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</si>
  <si>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</si>
  <si>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</si>
  <si>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</si>
  <si>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</si>
  <si>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</si>
  <si>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</si>
  <si>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</si>
  <si>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</si>
  <si>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</si>
  <si>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</si>
  <si>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</si>
  <si>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</si>
  <si>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</si>
  <si>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</si>
  <si>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</si>
  <si>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</si>
  <si>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</si>
  <si>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</si>
  <si>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</si>
  <si>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</si>
  <si>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</si>
  <si>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</si>
  <si>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</si>
  <si>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</si>
  <si>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</si>
  <si>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</si>
  <si>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</si>
  <si>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</si>
  <si>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</si>
  <si>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</si>
  <si>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</si>
  <si>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</si>
  <si>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</si>
  <si>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</si>
  <si>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</si>
  <si>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</si>
  <si>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</si>
  <si>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</si>
  <si>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</si>
  <si>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</si>
  <si>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</si>
  <si>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</si>
  <si>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</si>
  <si>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</si>
  <si>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</si>
  <si>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</si>
  <si>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</si>
  <si>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</si>
  <si>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</si>
  <si>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</si>
  <si>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</si>
  <si>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</si>
  <si>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</si>
  <si>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</si>
  <si>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</si>
  <si>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</si>
  <si>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</si>
  <si>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</si>
  <si>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</si>
  <si>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</si>
  <si>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</si>
  <si>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</si>
  <si>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</si>
  <si>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</si>
  <si>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</si>
  <si>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</si>
  <si>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</si>
  <si>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</si>
  <si>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</si>
  <si>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</si>
  <si>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</si>
  <si>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</si>
  <si>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</si>
  <si>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</si>
  <si>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</si>
  <si>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</si>
  <si>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</si>
  <si>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</si>
  <si>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</si>
  <si>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</si>
  <si>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</si>
  <si>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</si>
  <si>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</si>
  <si>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</si>
  <si>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</si>
  <si>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</si>
  <si>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</si>
  <si>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</si>
  <si>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</si>
  <si>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</si>
  <si>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</si>
  <si>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</si>
  <si>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</si>
  <si>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</si>
  <si>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</si>
  <si>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</si>
  <si>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</si>
  <si>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</si>
  <si>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</si>
  <si>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</si>
  <si>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</si>
  <si>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</si>
  <si>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</si>
  <si>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</si>
  <si>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</si>
  <si>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</si>
  <si>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</si>
  <si>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</si>
  <si>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</si>
  <si>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</si>
  <si>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</si>
  <si>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</si>
  <si>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</si>
  <si>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</si>
  <si>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</si>
  <si>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</si>
  <si>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</si>
  <si>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</si>
  <si>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</si>
  <si>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</si>
  <si>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</si>
  <si>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</si>
  <si>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</si>
  <si>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</si>
  <si>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</si>
  <si>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</si>
  <si>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</si>
  <si>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</si>
  <si>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</si>
  <si>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</si>
  <si>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</si>
  <si>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</si>
  <si>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</si>
  <si>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</si>
  <si>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</si>
  <si>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</si>
  <si>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</si>
  <si>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</si>
  <si>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</si>
  <si>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</si>
  <si>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</si>
  <si>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</si>
  <si>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</si>
  <si>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</si>
  <si>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</si>
  <si>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</si>
  <si>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</si>
  <si>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</si>
  <si>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</si>
  <si>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</si>
  <si>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</si>
  <si>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</si>
  <si>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</si>
  <si>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</si>
  <si>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</si>
  <si>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</si>
  <si>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</si>
  <si>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</si>
  <si>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</si>
  <si>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</si>
  <si>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</si>
  <si>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</si>
  <si>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</si>
  <si>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</si>
  <si>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</si>
  <si>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</si>
  <si>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</si>
  <si>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</si>
  <si>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</si>
  <si>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</si>
  <si>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</si>
  <si>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</si>
  <si>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</si>
  <si>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</si>
  <si>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</si>
  <si>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</si>
  <si>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</si>
  <si>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</si>
  <si>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</si>
  <si>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</si>
  <si>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</si>
  <si>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</si>
  <si>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</si>
  <si>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</si>
  <si>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</si>
  <si>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</si>
  <si>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</si>
  <si>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</si>
  <si>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</si>
  <si>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</si>
  <si>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</si>
  <si>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</si>
  <si>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</si>
  <si>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</si>
  <si>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</si>
  <si>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</si>
  <si>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</si>
  <si>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</si>
  <si>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</si>
  <si>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</si>
  <si>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</si>
  <si>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</si>
  <si>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</si>
  <si>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</si>
  <si>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</si>
  <si>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</si>
  <si>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</si>
  <si>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</si>
  <si>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</si>
  <si>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</si>
  <si>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</si>
  <si>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</si>
  <si>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</si>
  <si>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</si>
  <si>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</si>
  <si>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</si>
  <si>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</si>
  <si>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</si>
  <si>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</si>
  <si>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</si>
  <si>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</si>
  <si>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</si>
  <si>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</si>
  <si>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</si>
  <si>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</si>
  <si>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</si>
  <si>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</si>
  <si>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</si>
  <si>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</si>
  <si>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</si>
  <si>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</si>
  <si>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</si>
  <si>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</si>
  <si>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</si>
  <si>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</si>
  <si>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</si>
  <si>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</si>
  <si>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</si>
  <si>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</si>
  <si>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</si>
  <si>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</si>
  <si>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</si>
  <si>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</si>
  <si>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</si>
  <si>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</si>
  <si>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</si>
  <si>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</si>
  <si>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</si>
  <si>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</si>
  <si>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</si>
  <si>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</si>
  <si>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</si>
  <si>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</si>
  <si>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</si>
  <si>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</si>
  <si>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</si>
  <si>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</si>
  <si>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</si>
  <si>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</si>
  <si>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</si>
  <si>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</si>
  <si>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</si>
  <si>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</si>
  <si>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</si>
  <si>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</si>
  <si>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</si>
  <si>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</si>
  <si>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</si>
  <si>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</si>
  <si>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</si>
  <si>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</si>
  <si>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</si>
  <si>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</si>
  <si>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</si>
  <si>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</si>
  <si>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</si>
  <si>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</si>
  <si>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</si>
  <si>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</si>
  <si>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</si>
  <si>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</si>
  <si>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</si>
  <si>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</si>
  <si>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</si>
  <si>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</si>
  <si>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</si>
  <si>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</si>
  <si>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</si>
  <si>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</si>
  <si>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</si>
  <si>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</si>
  <si>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</si>
  <si>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</si>
  <si>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</si>
  <si>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</si>
  <si>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</si>
  <si>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</si>
  <si>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</si>
  <si>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</si>
  <si>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</si>
  <si>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</si>
  <si>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</si>
  <si>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</si>
  <si>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</si>
  <si>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</si>
  <si>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</si>
  <si>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</si>
  <si>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</si>
  <si>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</si>
  <si>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</si>
  <si>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</si>
  <si>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</si>
  <si>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</si>
  <si>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</si>
  <si>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</si>
  <si>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</si>
  <si>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</si>
  <si>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</si>
  <si>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</si>
  <si>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</si>
  <si>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</si>
  <si>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</si>
  <si>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</si>
  <si>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</si>
  <si>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</si>
  <si>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</si>
  <si>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</si>
  <si>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</si>
  <si>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</si>
  <si>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</si>
  <si>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</si>
  <si>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</si>
  <si>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</si>
  <si>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</si>
  <si>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</si>
  <si>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</si>
  <si>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</si>
  <si>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</si>
  <si>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</si>
  <si>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</si>
  <si>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</si>
  <si>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</si>
  <si>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</si>
  <si>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</si>
  <si>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</si>
  <si>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</si>
  <si>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</si>
  <si>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</si>
  <si>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</si>
  <si>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</si>
  <si>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</si>
  <si>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</si>
  <si>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</si>
  <si>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</si>
  <si>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</si>
  <si>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</si>
  <si>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</si>
  <si>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</si>
  <si>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</si>
  <si>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</si>
  <si>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</si>
  <si>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</si>
  <si>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</si>
  <si>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</si>
  <si>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</si>
  <si>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</si>
  <si>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</si>
  <si>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</si>
  <si>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</si>
  <si>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</si>
  <si>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</si>
  <si>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</si>
  <si>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</si>
  <si>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</si>
  <si>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</si>
  <si>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</si>
  <si>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</si>
  <si>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</si>
  <si>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</si>
  <si>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</si>
  <si>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</si>
  <si>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</si>
  <si>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</si>
  <si>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</si>
  <si>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</si>
  <si>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</si>
  <si>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</si>
  <si>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</si>
  <si>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</si>
  <si>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</si>
  <si>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</si>
  <si>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</si>
  <si>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</si>
  <si>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</si>
  <si>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</si>
  <si>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</si>
  <si>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</si>
  <si>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</si>
  <si>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</si>
  <si>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</si>
  <si>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</si>
  <si>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</si>
  <si>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</si>
  <si>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</si>
  <si>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</si>
  <si>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</si>
  <si>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</si>
  <si>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</si>
  <si>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</si>
  <si>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</si>
  <si>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</si>
  <si>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</si>
  <si>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</si>
  <si>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</si>
  <si>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</si>
  <si>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</si>
  <si>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</si>
  <si>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</si>
  <si>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</si>
  <si>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</si>
  <si>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</si>
  <si>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</si>
  <si>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</si>
  <si>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</si>
  <si>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</si>
  <si>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</si>
  <si>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</si>
  <si>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</si>
  <si>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</si>
  <si>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</si>
  <si>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</si>
  <si>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</si>
  <si>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</si>
  <si>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</si>
  <si>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</si>
  <si>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</si>
  <si>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</si>
  <si>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</si>
  <si>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</si>
  <si>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</si>
  <si>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</si>
  <si>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</si>
  <si>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</si>
  <si>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</si>
  <si>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</si>
  <si>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</si>
  <si>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</si>
  <si>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</si>
  <si>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</si>
  <si>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</si>
  <si>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</si>
  <si>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</si>
  <si>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</si>
  <si>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</si>
  <si>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</si>
  <si>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</si>
  <si>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</si>
  <si>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</si>
  <si>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</si>
  <si>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</si>
  <si>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</si>
  <si>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</si>
  <si>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</si>
  <si>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</si>
  <si>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</si>
  <si>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</si>
  <si>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</si>
  <si>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</si>
  <si>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</si>
  <si>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</si>
  <si>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</si>
  <si>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</si>
  <si>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</si>
  <si>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</si>
  <si>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</si>
  <si>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</si>
  <si>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</si>
  <si>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</si>
  <si>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</si>
  <si>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</si>
  <si>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</si>
  <si>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</si>
  <si>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</si>
  <si>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</si>
  <si>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</si>
  <si>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</si>
  <si>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</si>
  <si>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</si>
  <si>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</si>
  <si>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</si>
  <si>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</si>
  <si>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</si>
  <si>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</si>
  <si>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</si>
  <si>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</si>
  <si>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</si>
  <si>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</si>
  <si>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</si>
  <si>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</si>
  <si>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</si>
  <si>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</si>
  <si>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</si>
  <si>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</si>
  <si>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</si>
  <si>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</si>
  <si>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</si>
  <si>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</si>
  <si>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</si>
  <si>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</si>
  <si>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</si>
  <si>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</si>
  <si>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</si>
  <si>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</si>
  <si>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</si>
  <si>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</si>
  <si>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</si>
  <si>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</si>
  <si>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</si>
  <si>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</si>
  <si>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</si>
  <si>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</si>
  <si>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</si>
  <si>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</si>
  <si>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</si>
  <si>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</si>
  <si>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</si>
  <si>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</si>
  <si>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</si>
  <si>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</si>
  <si>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</si>
  <si>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</si>
  <si>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</si>
  <si>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</si>
  <si>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</si>
  <si>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</si>
  <si>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</si>
  <si>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</si>
  <si>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</si>
  <si>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</si>
  <si>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</si>
  <si>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</si>
  <si>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</si>
  <si>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</si>
  <si>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</si>
  <si>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</si>
  <si>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</si>
  <si>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</si>
  <si>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</si>
  <si>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</si>
  <si>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</si>
  <si>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</si>
  <si>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</si>
  <si>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</si>
  <si>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</si>
  <si>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</si>
  <si>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</si>
  <si>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</si>
  <si>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</si>
  <si>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</si>
  <si>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</si>
  <si>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</si>
  <si>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</si>
  <si>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</si>
  <si>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</si>
  <si>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</si>
  <si>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</si>
  <si>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</si>
  <si>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</si>
  <si>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</si>
  <si>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</si>
  <si>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</si>
  <si>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</si>
  <si>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</si>
  <si>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</si>
  <si>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</si>
  <si>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</si>
  <si>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</si>
  <si>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</si>
  <si>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</si>
  <si>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</si>
  <si>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</si>
  <si>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</si>
  <si>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</si>
  <si>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</si>
  <si>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</si>
  <si>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</si>
  <si>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</si>
  <si>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</si>
  <si>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</si>
  <si>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</si>
  <si>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</si>
  <si>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</si>
  <si>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</si>
  <si>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</si>
  <si>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</si>
  <si>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</si>
  <si>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</si>
  <si>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</si>
  <si>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</si>
  <si>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</si>
  <si>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</si>
  <si>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</si>
  <si>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</si>
  <si>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</si>
  <si>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</si>
  <si>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</si>
  <si>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</si>
  <si>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</si>
  <si>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</si>
  <si>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</si>
  <si>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</si>
  <si>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</si>
  <si>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</si>
  <si>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</si>
  <si>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</si>
  <si>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</si>
  <si>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</si>
  <si>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</si>
  <si>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</si>
  <si>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</si>
  <si>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</si>
  <si>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</si>
  <si>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</si>
  <si>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</si>
  <si>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</si>
  <si>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</si>
  <si>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</si>
  <si>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</si>
  <si>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</si>
  <si>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</si>
  <si>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</si>
  <si>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</si>
  <si>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</si>
  <si>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</si>
  <si>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</si>
  <si>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</si>
  <si>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</si>
  <si>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</si>
  <si>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</si>
  <si>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</si>
  <si>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</si>
  <si>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</si>
  <si>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</si>
  <si>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</si>
  <si>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</si>
  <si>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</si>
  <si>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</si>
  <si>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</si>
  <si>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</si>
  <si>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</si>
  <si>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</si>
  <si>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</si>
  <si>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</si>
  <si>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</si>
  <si>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</si>
  <si>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</si>
  <si>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</si>
  <si>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</si>
  <si>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</si>
  <si>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</si>
  <si>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</si>
  <si>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</si>
  <si>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</si>
  <si>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</si>
  <si>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</si>
  <si>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</si>
  <si>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</si>
  <si>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</si>
  <si>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</si>
  <si>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</si>
  <si>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</si>
  <si>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</si>
  <si>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</si>
  <si>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</si>
  <si>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</si>
  <si>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</si>
  <si>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</si>
  <si>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</si>
  <si>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</si>
  <si>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</si>
  <si>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</si>
  <si>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</si>
  <si>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</si>
  <si>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</si>
  <si>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</si>
  <si>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</si>
  <si>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</si>
  <si>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</si>
  <si>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</si>
  <si>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</si>
  <si>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</si>
  <si>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</si>
  <si>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</si>
  <si>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</si>
  <si>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</si>
  <si>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</si>
  <si>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</si>
  <si>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</si>
  <si>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</si>
  <si>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</si>
  <si>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</si>
  <si>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</si>
  <si>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</si>
  <si>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</si>
  <si>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</si>
  <si>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</si>
  <si>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</si>
  <si>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</si>
  <si>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</si>
  <si>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</si>
  <si>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</si>
  <si>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</si>
  <si>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</si>
  <si>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</si>
  <si>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</si>
  <si>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</si>
  <si>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</si>
  <si>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</si>
  <si>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</si>
  <si>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</si>
  <si>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</si>
  <si>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</si>
  <si>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</si>
  <si>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</si>
  <si>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</si>
  <si>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</si>
  <si>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</si>
  <si>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</si>
  <si>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</si>
  <si>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</si>
  <si>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</si>
  <si>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</si>
  <si>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</si>
  <si>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</si>
  <si>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</si>
  <si>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</si>
  <si>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</si>
  <si>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</si>
  <si>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</si>
  <si>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</si>
  <si>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</si>
  <si>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</si>
  <si>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</si>
  <si>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</si>
  <si>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</si>
  <si>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</si>
  <si>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</si>
  <si>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</si>
  <si>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</si>
  <si>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</si>
  <si>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</si>
  <si>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</si>
  <si>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</si>
  <si>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</si>
  <si>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</si>
  <si>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</si>
  <si>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</si>
  <si>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</si>
  <si>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</si>
  <si>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</si>
  <si>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</si>
  <si>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</si>
  <si>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</si>
  <si>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</si>
  <si>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</si>
  <si>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</si>
  <si>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</si>
  <si>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</si>
  <si>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</si>
  <si>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</si>
  <si>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</si>
  <si>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</si>
  <si>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</si>
  <si>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</si>
  <si>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</si>
  <si>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</si>
  <si>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</si>
  <si>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</si>
  <si>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</si>
  <si>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</si>
  <si>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</si>
  <si>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</si>
  <si>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</si>
  <si>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</si>
  <si>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</si>
  <si>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</si>
  <si>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</si>
  <si>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</si>
  <si>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</si>
  <si>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</si>
  <si>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</si>
  <si>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</si>
  <si>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</si>
  <si>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</si>
  <si>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</si>
  <si>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</si>
  <si>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</si>
  <si>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</si>
  <si>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</si>
  <si>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</si>
  <si>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</si>
  <si>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</si>
  <si>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</si>
  <si>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</si>
  <si>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</si>
  <si>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</si>
  <si>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</si>
  <si>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</si>
  <si>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</si>
  <si>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</si>
  <si>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</si>
  <si>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</si>
  <si>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</si>
  <si>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</si>
  <si>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</si>
  <si>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</si>
  <si>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</si>
  <si>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</si>
  <si>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</si>
  <si>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</si>
  <si>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</si>
  <si>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</si>
  <si>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</si>
  <si>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</si>
  <si>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</si>
  <si>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</si>
  <si>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</si>
  <si>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</si>
  <si>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</si>
  <si>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</si>
  <si>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</si>
  <si>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</si>
  <si>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</si>
  <si>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</si>
  <si>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</si>
  <si>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</si>
  <si>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</si>
  <si>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</si>
  <si>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</si>
  <si>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</si>
  <si>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</si>
  <si>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</si>
  <si>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</si>
  <si>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</si>
  <si>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</si>
  <si>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</si>
  <si>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</si>
  <si>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</si>
  <si>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</si>
  <si>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</si>
  <si>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</si>
  <si>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</si>
  <si>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</si>
  <si>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</si>
  <si>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</si>
  <si>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</si>
  <si>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</si>
  <si>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</si>
  <si>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</si>
  <si>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</si>
  <si>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</si>
  <si>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</si>
  <si>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</si>
  <si>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</si>
  <si>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</si>
  <si>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</si>
  <si>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</si>
  <si>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</si>
  <si>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</si>
  <si>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</si>
  <si>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</si>
  <si>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</si>
  <si>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</si>
  <si>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</si>
  <si>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</si>
  <si>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</si>
  <si>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</si>
  <si>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</si>
  <si>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</si>
  <si>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</si>
  <si>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</si>
  <si>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</si>
  <si>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</si>
  <si>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</si>
  <si>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</si>
  <si>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</si>
  <si>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</si>
  <si>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</si>
  <si>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</si>
  <si>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</si>
  <si>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</si>
  <si>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</si>
  <si>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</si>
  <si>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</si>
  <si>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</si>
  <si>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</si>
  <si>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</si>
  <si>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</si>
  <si>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</si>
  <si>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</si>
  <si>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</si>
  <si>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</si>
  <si>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</si>
  <si>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</si>
  <si>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</si>
  <si>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</si>
  <si>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</si>
  <si>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</si>
  <si>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</si>
  <si>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</si>
  <si>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</si>
  <si>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</si>
  <si>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</si>
  <si>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</si>
  <si>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</si>
  <si>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</si>
  <si>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</si>
  <si>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</si>
  <si>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</si>
  <si>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</si>
  <si>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</si>
  <si>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</si>
  <si>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</si>
  <si>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</si>
  <si>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</si>
  <si>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</si>
  <si>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</si>
  <si>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</si>
  <si>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</si>
  <si>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</si>
  <si>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</si>
  <si>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</si>
  <si>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</si>
  <si>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</si>
  <si>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</si>
  <si>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</si>
  <si>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</si>
  <si>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</si>
  <si>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</si>
  <si>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</si>
  <si>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</si>
  <si>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</si>
  <si>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</si>
  <si>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</si>
  <si>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</si>
  <si>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</si>
  <si>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</si>
  <si>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</si>
  <si>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</si>
  <si>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</si>
  <si>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</si>
  <si>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</si>
  <si>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</si>
  <si>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</si>
  <si>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</si>
  <si>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</si>
  <si>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</si>
  <si>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</si>
  <si>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</si>
  <si>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</si>
  <si>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</si>
  <si>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</si>
  <si>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</si>
  <si>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</si>
  <si>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</si>
  <si>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</si>
  <si>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</si>
  <si>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</si>
  <si>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</si>
  <si>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</si>
  <si>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</si>
  <si>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</si>
  <si>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</si>
  <si>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</si>
  <si>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</si>
  <si>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</si>
  <si>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</si>
  <si>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</si>
  <si>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</si>
  <si>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</si>
  <si>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</si>
  <si>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</si>
  <si>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</si>
  <si>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</si>
  <si>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</si>
  <si>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</si>
  <si>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</si>
  <si>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</si>
  <si>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</si>
  <si>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</si>
  <si>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</si>
  <si>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</si>
  <si>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</si>
  <si>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</si>
  <si>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</si>
  <si>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</si>
  <si>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</si>
  <si>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</si>
  <si>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</si>
  <si>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</si>
  <si>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</si>
  <si>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</si>
  <si>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</si>
  <si>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</si>
  <si>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</si>
  <si>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</si>
  <si>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</si>
  <si>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</si>
  <si>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</si>
  <si>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</si>
  <si>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</si>
  <si>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</si>
  <si>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</si>
  <si>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</si>
  <si>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</si>
  <si>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</si>
  <si>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</si>
  <si>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</si>
  <si>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</si>
  <si>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</si>
  <si>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</si>
  <si>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</si>
  <si>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</si>
  <si>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</si>
  <si>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</si>
  <si>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</si>
  <si>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</si>
  <si>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</si>
  <si>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</si>
  <si>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</si>
  <si>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</si>
  <si>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</si>
  <si>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</si>
  <si>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</si>
  <si>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</si>
  <si>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</si>
  <si>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</si>
  <si>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</si>
  <si>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</si>
  <si>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</si>
  <si>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</si>
  <si>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</si>
  <si>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</si>
  <si>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</si>
  <si>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</si>
  <si>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</si>
  <si>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</si>
  <si>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</si>
  <si>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</si>
  <si>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</si>
  <si>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</si>
  <si>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</si>
  <si>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</si>
  <si>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</si>
  <si>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</si>
  <si>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</si>
  <si>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</si>
  <si>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</si>
  <si>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</si>
  <si>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</si>
  <si>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</si>
  <si>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</si>
  <si>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</si>
  <si>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</si>
  <si>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</si>
  <si>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</si>
  <si>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</si>
  <si>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</si>
  <si>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</si>
  <si>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</si>
  <si>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</si>
  <si>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</si>
  <si>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</si>
  <si>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</si>
  <si>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</si>
  <si>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</si>
  <si>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</si>
  <si>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</si>
  <si>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</si>
  <si>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</si>
  <si>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</si>
  <si>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</si>
  <si>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</si>
  <si>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</si>
  <si>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</si>
  <si>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</si>
  <si>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</si>
  <si>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</si>
  <si>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</si>
  <si>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</si>
  <si>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</si>
  <si>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</si>
  <si>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</si>
  <si>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</si>
  <si>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</si>
  <si>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</si>
  <si>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</si>
  <si>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</si>
  <si>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</si>
  <si>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</si>
  <si>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</si>
  <si>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</si>
  <si>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</si>
  <si>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</si>
  <si>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</si>
  <si>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</si>
  <si>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</si>
  <si>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</si>
  <si>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</si>
  <si>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</si>
  <si>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</si>
  <si>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</si>
  <si>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</si>
  <si>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</si>
  <si>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</si>
  <si>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</si>
  <si>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</si>
  <si>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</si>
  <si>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</si>
  <si>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</si>
  <si>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</si>
  <si>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</si>
  <si>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</si>
  <si>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</si>
  <si>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</si>
  <si>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</si>
  <si>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</si>
  <si>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</si>
  <si>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</si>
  <si>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</si>
  <si>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</si>
  <si>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</si>
  <si>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</si>
  <si>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</si>
  <si>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</si>
  <si>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</si>
  <si>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</si>
  <si>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</si>
  <si>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</si>
  <si>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</si>
  <si>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</si>
  <si>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</si>
  <si>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</si>
  <si>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</si>
  <si>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</si>
  <si>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</si>
  <si>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</si>
  <si>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</si>
  <si>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</si>
  <si>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</si>
  <si>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</si>
  <si>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</si>
  <si>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</si>
  <si>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</si>
  <si>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</si>
  <si>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</si>
  <si>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</si>
  <si>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</si>
  <si>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</si>
  <si>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</si>
  <si>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</si>
  <si>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</si>
  <si>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</si>
  <si>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</si>
  <si>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</si>
  <si>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</si>
  <si>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</si>
  <si>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</si>
  <si>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</si>
  <si>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</si>
  <si>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</si>
  <si>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</si>
  <si>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</si>
  <si>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</si>
  <si>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</si>
  <si>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</si>
  <si>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</si>
  <si>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</si>
  <si>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</si>
  <si>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</si>
  <si>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</si>
  <si>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</si>
  <si>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</si>
  <si>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</si>
  <si>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</si>
  <si>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</si>
  <si>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</si>
  <si>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</si>
  <si>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</si>
  <si>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</si>
  <si>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</si>
  <si>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</si>
  <si>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</si>
  <si>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</si>
  <si>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</si>
  <si>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</si>
  <si>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</si>
  <si>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</si>
  <si>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</si>
  <si>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</si>
  <si>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</si>
  <si>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</si>
  <si>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</si>
  <si>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</si>
  <si>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</si>
  <si>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</si>
  <si>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</si>
  <si>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</si>
  <si>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</si>
  <si>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</si>
  <si>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</si>
  <si>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</si>
  <si>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</si>
  <si>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</si>
  <si>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</si>
  <si>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</si>
  <si>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</si>
  <si>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</si>
  <si>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</si>
  <si>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</si>
  <si>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</si>
  <si>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</si>
  <si>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</si>
  <si>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</si>
  <si>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</si>
  <si>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</si>
  <si>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</si>
  <si>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</si>
  <si>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</si>
  <si>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</si>
  <si>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</si>
  <si>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</si>
  <si>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</si>
  <si>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</si>
  <si>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</si>
  <si>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</si>
  <si>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</si>
  <si>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</si>
  <si>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</si>
  <si>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</si>
  <si>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</si>
  <si>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</si>
  <si>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</si>
  <si>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</si>
  <si>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</si>
  <si>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</si>
  <si>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</si>
  <si>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</si>
  <si>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</si>
  <si>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</si>
  <si>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</si>
  <si>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</si>
  <si>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</si>
  <si>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</si>
  <si>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</si>
  <si>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</si>
  <si>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</si>
  <si>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</si>
  <si>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</si>
  <si>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</si>
  <si>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</si>
  <si>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</si>
  <si>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</si>
  <si>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</si>
  <si>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</si>
  <si>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</si>
  <si>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</si>
  <si>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</si>
  <si>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</si>
  <si>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</si>
  <si>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</si>
  <si>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</si>
  <si>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</si>
  <si>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</si>
  <si>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</si>
  <si>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</si>
  <si>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</si>
  <si>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</si>
  <si>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</si>
  <si>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</si>
  <si>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</si>
  <si>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</si>
  <si>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</si>
  <si>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</si>
  <si>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</si>
  <si>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</si>
  <si>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</si>
  <si>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</si>
  <si>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</si>
  <si>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</si>
  <si>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</si>
  <si>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</si>
  <si>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</si>
  <si>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</si>
  <si>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</si>
  <si>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</si>
  <si>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</si>
  <si>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</si>
  <si>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</si>
  <si>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</si>
  <si>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</si>
  <si>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</si>
  <si>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</si>
  <si>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</si>
  <si>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</si>
  <si>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</si>
  <si>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</si>
  <si>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</si>
  <si>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</si>
  <si>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</si>
  <si>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</si>
  <si>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</si>
  <si>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</si>
  <si>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</si>
  <si>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</si>
  <si>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</si>
  <si>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</si>
  <si>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</si>
  <si>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</si>
  <si>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</si>
  <si>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</si>
  <si>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</si>
  <si>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</si>
  <si>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</si>
  <si>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</si>
  <si>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</si>
  <si>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</si>
  <si>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</si>
  <si>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</si>
  <si>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</si>
  <si>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</si>
  <si>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</si>
  <si>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</si>
  <si>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</si>
  <si>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</si>
  <si>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</si>
  <si>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</si>
  <si>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</si>
  <si>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</si>
  <si>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</si>
  <si>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</si>
  <si>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</si>
  <si>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</si>
  <si>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</si>
  <si>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</si>
  <si>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</si>
  <si>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</si>
  <si>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</si>
  <si>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</si>
  <si>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</si>
  <si>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</si>
  <si>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</si>
  <si>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</si>
  <si>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</si>
  <si>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</si>
  <si>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</si>
  <si>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</si>
  <si>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</si>
  <si>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</si>
  <si>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</si>
  <si>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</si>
  <si>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</si>
  <si>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</si>
  <si>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</si>
  <si>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</si>
  <si>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</si>
  <si>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</si>
  <si>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</si>
  <si>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</si>
  <si>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</si>
  <si>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</si>
  <si>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</si>
  <si>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</si>
  <si>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</si>
  <si>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</si>
  <si>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</si>
  <si>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</si>
  <si>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</si>
  <si>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</si>
  <si>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</si>
  <si>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</si>
  <si>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</si>
  <si>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</si>
  <si>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</si>
  <si>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</si>
  <si>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</si>
  <si>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</si>
  <si>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</si>
  <si>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</si>
  <si>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</si>
  <si>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</si>
  <si>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</si>
  <si>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</si>
  <si>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</si>
  <si>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</si>
  <si>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</si>
  <si>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</si>
  <si>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</si>
  <si>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</si>
  <si>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</si>
  <si>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</si>
  <si>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</si>
  <si>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</si>
  <si>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</si>
  <si>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</si>
  <si>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</si>
  <si>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</si>
  <si>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</si>
  <si>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</si>
  <si>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</si>
  <si>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</si>
  <si>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</si>
  <si>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</si>
  <si>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</si>
  <si>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</si>
  <si>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</si>
  <si>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</si>
  <si>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</si>
  <si>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</si>
  <si>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</si>
  <si>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</si>
  <si>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</si>
  <si>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</si>
  <si>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</si>
  <si>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</si>
  <si>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</si>
  <si>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</si>
  <si>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</si>
  <si>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</si>
  <si>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</si>
  <si>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</si>
  <si>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</si>
  <si>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</si>
  <si>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</si>
  <si>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</si>
  <si>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</si>
  <si>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</si>
  <si>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</si>
  <si>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</si>
  <si>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</si>
  <si>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</si>
  <si>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</si>
  <si>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</si>
  <si>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</si>
  <si>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</si>
  <si>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</si>
  <si>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</si>
  <si>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</si>
  <si>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</si>
  <si>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</si>
  <si>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</si>
  <si>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</si>
  <si>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</si>
  <si>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</si>
  <si>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</si>
  <si>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</si>
  <si>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</si>
  <si>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</si>
  <si>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</si>
  <si>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</si>
  <si>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</si>
  <si>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</si>
  <si>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</si>
  <si>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</si>
  <si>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</si>
  <si>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</si>
  <si>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</si>
  <si>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</si>
  <si>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</si>
  <si>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</si>
  <si>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</si>
  <si>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</si>
  <si>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</si>
  <si>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</si>
  <si>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</si>
  <si>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</si>
  <si>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</si>
  <si>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</si>
  <si>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</si>
  <si>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</si>
  <si>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</si>
  <si>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</si>
  <si>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</si>
  <si>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</si>
  <si>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</si>
  <si>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</si>
  <si>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</si>
  <si>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</si>
  <si>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</si>
  <si>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</si>
  <si>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</si>
  <si>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</si>
  <si>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</si>
  <si>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</si>
  <si>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</si>
  <si>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</si>
  <si>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</si>
  <si>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</si>
  <si>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</si>
  <si>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</si>
  <si>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</si>
  <si>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</si>
  <si>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</si>
  <si>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</si>
  <si>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</si>
  <si>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</si>
  <si>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</si>
  <si>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</si>
  <si>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</si>
  <si>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</si>
  <si>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</si>
  <si>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</si>
  <si>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</si>
  <si>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</si>
  <si>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</si>
  <si>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</si>
  <si>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</si>
  <si>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</si>
  <si>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</si>
  <si>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</si>
  <si>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</si>
  <si>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</si>
  <si>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</si>
  <si>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</si>
  <si>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</si>
  <si>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</si>
  <si>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</si>
  <si>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</si>
  <si>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</si>
  <si>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</si>
  <si>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</si>
  <si>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</si>
  <si>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</si>
  <si>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</si>
  <si>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</si>
  <si>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</si>
  <si>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</si>
  <si>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</si>
  <si>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</si>
  <si>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</si>
  <si>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</si>
  <si>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</si>
  <si>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</si>
  <si>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</si>
  <si>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</si>
  <si>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</si>
  <si>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</si>
  <si>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</si>
  <si>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</si>
  <si>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</si>
  <si>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</si>
  <si>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</si>
  <si>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</si>
  <si>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</si>
  <si>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</si>
  <si>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</si>
  <si>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</si>
  <si>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</si>
  <si>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</si>
  <si>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</si>
  <si>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</si>
  <si>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</si>
  <si>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</si>
  <si>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</si>
  <si>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</si>
  <si>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</si>
  <si>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</si>
  <si>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</si>
  <si>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</si>
  <si>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</si>
  <si>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</si>
  <si>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</si>
  <si>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</si>
  <si>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</si>
  <si>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</si>
  <si>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</si>
  <si>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</si>
  <si>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</si>
  <si>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</si>
  <si>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</si>
  <si>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</si>
  <si>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</si>
  <si>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</si>
  <si>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</si>
  <si>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</si>
  <si>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</si>
  <si>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</si>
  <si>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</si>
  <si>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</si>
  <si>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</si>
  <si>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</si>
  <si>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</si>
  <si>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</si>
  <si>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</si>
  <si>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</si>
  <si>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</si>
  <si>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</si>
  <si>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</si>
  <si>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</si>
  <si>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</si>
  <si>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</si>
  <si>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</si>
  <si>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</si>
  <si>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</si>
  <si>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</si>
  <si>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</si>
  <si>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</si>
  <si>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</si>
  <si>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</si>
  <si>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</si>
  <si>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</si>
  <si>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</si>
  <si>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</si>
  <si>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</si>
  <si>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</si>
  <si>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</si>
  <si>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</si>
  <si>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</si>
  <si>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</si>
  <si>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</si>
  <si>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</si>
  <si>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</si>
  <si>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</si>
  <si>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</si>
  <si>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</si>
  <si>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</si>
  <si>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</si>
  <si>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</si>
  <si>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</si>
  <si>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</si>
  <si>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</si>
  <si>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</si>
  <si>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</si>
  <si>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</si>
  <si>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</si>
  <si>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</si>
  <si>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</si>
  <si>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</si>
  <si>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</si>
  <si>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</si>
  <si>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</si>
  <si>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</si>
  <si>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</si>
  <si>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</si>
  <si>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</si>
  <si>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</si>
  <si>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</si>
  <si>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</si>
  <si>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</si>
  <si>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</si>
  <si>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</si>
  <si>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</si>
  <si>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</si>
  <si>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</si>
  <si>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</si>
  <si>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</si>
  <si>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</si>
  <si>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</si>
  <si>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</si>
  <si>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</si>
  <si>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</si>
  <si>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</si>
  <si>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</si>
  <si>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</si>
  <si>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</si>
  <si>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</si>
  <si>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</si>
  <si>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</si>
  <si>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</si>
  <si>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</si>
  <si>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</si>
  <si>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</si>
  <si>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</si>
  <si>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</si>
  <si>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</si>
  <si>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</si>
  <si>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</si>
  <si>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</si>
  <si>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</si>
  <si>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</si>
  <si>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</si>
  <si>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</si>
  <si>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</si>
  <si>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</si>
  <si>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</si>
  <si>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</si>
  <si>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</si>
  <si>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</si>
  <si>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</si>
  <si>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</si>
  <si>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</si>
  <si>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</si>
  <si>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</si>
  <si>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</si>
  <si>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</si>
  <si>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</si>
  <si>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</si>
  <si>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</si>
  <si>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</si>
  <si>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</si>
  <si>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</si>
  <si>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</si>
  <si>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</si>
  <si>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</si>
  <si>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</si>
  <si>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</si>
  <si>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</si>
  <si>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</si>
  <si>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</si>
  <si>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</si>
  <si>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</si>
  <si>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</si>
  <si>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</si>
  <si>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</si>
  <si>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</si>
  <si>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</si>
  <si>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</si>
  <si>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</si>
  <si>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</si>
  <si>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</si>
  <si>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</si>
  <si>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</si>
  <si>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</si>
  <si>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</si>
  <si>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</si>
  <si>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</si>
  <si>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</si>
  <si>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</si>
  <si>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</si>
  <si>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</si>
  <si>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</si>
  <si>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</si>
  <si>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</si>
  <si>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</si>
  <si>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</si>
  <si>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</si>
  <si>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</si>
  <si>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</si>
  <si>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</si>
  <si>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</si>
  <si>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</si>
  <si>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</si>
  <si>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</si>
  <si>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</si>
  <si>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</si>
  <si>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</si>
  <si>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</si>
  <si>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</si>
  <si>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</si>
  <si>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</si>
  <si>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</si>
  <si>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</si>
  <si>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</si>
  <si>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</si>
  <si>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</si>
  <si>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</si>
  <si>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</si>
  <si>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</si>
  <si>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</si>
  <si>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</si>
  <si>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</si>
  <si>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</si>
  <si>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</si>
  <si>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</si>
  <si>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</si>
  <si>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</si>
  <si>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</si>
  <si>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</si>
  <si>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</si>
  <si>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</si>
  <si>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</si>
  <si>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</si>
  <si>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</si>
  <si>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</si>
  <si>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</si>
  <si>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</si>
  <si>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</si>
  <si>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</si>
  <si>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</si>
  <si>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</si>
  <si>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</si>
  <si>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</si>
  <si>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</si>
  <si>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</si>
  <si>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</si>
  <si>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</si>
  <si>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</si>
  <si>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</si>
  <si>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</si>
  <si>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</si>
  <si>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</si>
  <si>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</si>
  <si>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</si>
  <si>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</si>
  <si>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</si>
  <si>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</si>
  <si>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</si>
  <si>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</si>
  <si>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</si>
  <si>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</si>
  <si>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</si>
  <si>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</si>
  <si>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</si>
  <si>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</si>
  <si>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</si>
  <si>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</si>
  <si>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</si>
  <si>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</si>
  <si>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</si>
  <si>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</si>
  <si>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</si>
  <si>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</si>
  <si>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</si>
  <si>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</si>
  <si>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</si>
  <si>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</si>
  <si>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</si>
  <si>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</si>
  <si>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</si>
  <si>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</si>
  <si>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</si>
  <si>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</si>
  <si>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</si>
  <si>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</si>
  <si>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</si>
  <si>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</si>
  <si>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</si>
  <si>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</si>
  <si>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</si>
  <si>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</si>
  <si>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</si>
  <si>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</si>
  <si>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</si>
  <si>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</si>
  <si>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</si>
  <si>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</si>
  <si>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</si>
  <si>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</si>
  <si>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</si>
  <si>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</si>
  <si>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</si>
  <si>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</si>
  <si>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</si>
  <si>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</si>
  <si>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</si>
  <si>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</si>
  <si>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</si>
  <si>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</si>
  <si>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</si>
  <si>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</si>
  <si>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</si>
  <si>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</si>
  <si>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</si>
  <si>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</si>
  <si>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</si>
  <si>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</si>
  <si>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</si>
  <si>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</si>
  <si>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</si>
  <si>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</si>
  <si>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</si>
  <si>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</si>
  <si>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</si>
  <si>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</si>
  <si>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</si>
  <si>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</si>
  <si>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</si>
  <si>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</si>
  <si>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</si>
  <si>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</si>
  <si>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</si>
  <si>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</si>
  <si>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</si>
  <si>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</si>
  <si>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</si>
  <si>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</si>
  <si>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</si>
  <si>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</si>
  <si>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</si>
  <si>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</si>
  <si>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</si>
  <si>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</si>
  <si>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</si>
  <si>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</si>
  <si>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</si>
  <si>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</si>
  <si>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</si>
  <si>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</si>
  <si>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</si>
  <si>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</si>
  <si>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</si>
  <si>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</si>
  <si>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</si>
  <si>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</si>
  <si>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</si>
  <si>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</si>
  <si>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</si>
  <si>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</si>
  <si>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</si>
  <si>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</si>
  <si>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</si>
  <si>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</si>
  <si>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</si>
  <si>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</si>
  <si>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</si>
  <si>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</si>
  <si>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</si>
  <si>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</si>
  <si>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</si>
  <si>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</si>
  <si>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</si>
  <si>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</si>
  <si>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</si>
  <si>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</si>
  <si>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</si>
  <si>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</si>
  <si>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</si>
  <si>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</si>
  <si>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</si>
  <si>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</si>
  <si>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</si>
  <si>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</si>
  <si>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</si>
  <si>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</si>
  <si>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</si>
  <si>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</si>
  <si>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</si>
  <si>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</si>
  <si>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</si>
  <si>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</si>
  <si>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</si>
  <si>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</si>
  <si>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</si>
  <si>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</si>
  <si>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</si>
  <si>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</si>
  <si>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</si>
  <si>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</si>
  <si>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</si>
  <si>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</si>
  <si>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</si>
  <si>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</si>
  <si>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</si>
  <si>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</si>
  <si>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</si>
  <si>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</si>
  <si>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</si>
  <si>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</si>
  <si>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</si>
  <si>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</si>
  <si>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</si>
  <si>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</si>
  <si>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</si>
  <si>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</si>
  <si>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</si>
  <si>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</si>
  <si>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</si>
  <si>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</si>
  <si>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</si>
  <si>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</si>
  <si>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</si>
  <si>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</si>
  <si>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</si>
  <si>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</si>
  <si>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</si>
  <si>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</si>
  <si>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</si>
  <si>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</si>
  <si>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</si>
  <si>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</si>
  <si>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</si>
  <si>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</si>
  <si>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</si>
  <si>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</si>
  <si>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</si>
  <si>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</si>
  <si>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</si>
  <si>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</si>
  <si>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</si>
  <si>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</si>
  <si>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</si>
  <si>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</si>
  <si>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</si>
  <si>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</si>
  <si>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</si>
  <si>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</si>
  <si>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</si>
  <si>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</si>
  <si>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</si>
  <si>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</si>
  <si>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</si>
  <si>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</si>
  <si>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</si>
  <si>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</si>
  <si>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</si>
  <si>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</si>
  <si>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</si>
  <si>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</si>
  <si>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</si>
  <si>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</si>
  <si>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</si>
  <si>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</si>
  <si>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</si>
  <si>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</si>
  <si>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</si>
  <si>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</si>
  <si>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</si>
  <si>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</si>
  <si>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</si>
  <si>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</si>
  <si>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</si>
  <si>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</si>
  <si>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</si>
  <si>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</si>
  <si>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</si>
  <si>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</si>
  <si>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</si>
  <si>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</si>
  <si>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</si>
  <si>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</si>
  <si>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</si>
  <si>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</si>
  <si>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</si>
  <si>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</si>
  <si>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</si>
  <si>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</si>
  <si>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</si>
  <si>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</si>
  <si>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</si>
  <si>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</si>
  <si>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</si>
  <si>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</si>
  <si>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</si>
  <si>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</si>
  <si>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</si>
  <si>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</si>
  <si>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</si>
  <si>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</si>
  <si>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</si>
  <si>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</si>
  <si>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</si>
  <si>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</si>
  <si>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</si>
  <si>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</si>
  <si>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</si>
  <si>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</si>
  <si>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</si>
  <si>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</si>
  <si>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</si>
  <si>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</si>
  <si>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</si>
  <si>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</si>
  <si>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</si>
  <si>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</si>
  <si>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</si>
  <si>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</si>
  <si>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</si>
  <si>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</si>
  <si>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</si>
  <si>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</si>
  <si>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</si>
  <si>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</si>
  <si>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</si>
  <si>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</si>
  <si>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</si>
  <si>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</si>
  <si>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</si>
  <si>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</si>
  <si>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</si>
  <si>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</si>
  <si>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</si>
  <si>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</si>
  <si>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</si>
  <si>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</si>
  <si>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</si>
  <si>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</si>
  <si>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</si>
  <si>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</si>
  <si>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</si>
  <si>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</si>
  <si>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</si>
  <si>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</si>
  <si>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</si>
  <si>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</si>
  <si>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</si>
  <si>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</si>
  <si>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</si>
  <si>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</si>
  <si>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</si>
  <si>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</si>
  <si>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</si>
  <si>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</si>
  <si>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</si>
  <si>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</si>
  <si>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</si>
  <si>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</si>
  <si>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</si>
  <si>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</si>
  <si>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</si>
  <si>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</si>
  <si>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</si>
  <si>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</si>
  <si>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</si>
  <si>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</si>
  <si>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</si>
  <si>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</si>
  <si>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</si>
  <si>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</si>
  <si>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</si>
  <si>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</si>
  <si>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</si>
  <si>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</si>
  <si>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</si>
  <si>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</si>
  <si>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</si>
  <si>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</si>
  <si>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</si>
  <si>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</si>
  <si>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</si>
  <si>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</si>
  <si>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</si>
  <si>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</si>
  <si>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</si>
  <si>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</si>
  <si>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</si>
  <si>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</si>
  <si>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</si>
  <si>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</si>
  <si>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</si>
  <si>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</si>
  <si>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</si>
  <si>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</si>
  <si>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</si>
  <si>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</si>
  <si>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</si>
  <si>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</si>
  <si>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</si>
  <si>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</si>
  <si>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</si>
  <si>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</si>
  <si>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</si>
  <si>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</si>
  <si>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</si>
  <si>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</si>
  <si>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</si>
  <si>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</si>
  <si>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</si>
  <si>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</si>
  <si>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</si>
  <si>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</si>
  <si>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</si>
  <si>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</si>
  <si>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</si>
  <si>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</si>
  <si>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</si>
  <si>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</si>
  <si>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</si>
  <si>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</si>
  <si>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</si>
  <si>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</si>
  <si>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</si>
  <si>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</si>
  <si>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</si>
  <si>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</si>
  <si>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</si>
  <si>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</si>
  <si>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</si>
  <si>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</si>
  <si>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</si>
  <si>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</si>
  <si>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</si>
  <si>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</si>
  <si>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</si>
  <si>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</si>
  <si>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</si>
  <si>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</si>
  <si>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</si>
  <si>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</si>
  <si>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</si>
  <si>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</si>
  <si>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</si>
  <si>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</si>
  <si>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</si>
  <si>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</si>
  <si>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</si>
  <si>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</si>
  <si>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</si>
  <si>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</si>
  <si>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</si>
  <si>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</si>
  <si>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</si>
  <si>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</si>
  <si>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</si>
  <si>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</si>
  <si>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</si>
  <si>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</si>
  <si>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</si>
  <si>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</si>
  <si>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</si>
  <si>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</si>
  <si>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</si>
  <si>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</si>
  <si>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</si>
  <si>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</si>
  <si>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</si>
  <si>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</si>
  <si>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</si>
  <si>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</si>
  <si>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</si>
  <si>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</si>
  <si>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</si>
  <si>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</si>
  <si>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</si>
  <si>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</si>
  <si>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</si>
  <si>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</si>
  <si>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</si>
  <si>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</si>
  <si>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</si>
  <si>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</si>
  <si>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</si>
  <si>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</si>
  <si>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</si>
  <si>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</si>
  <si>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</si>
  <si>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</si>
  <si>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</si>
  <si>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</si>
  <si>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</si>
  <si>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</si>
  <si>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</si>
  <si>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</si>
  <si>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</si>
  <si>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</si>
  <si>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</si>
  <si>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</si>
  <si>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</si>
  <si>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</si>
  <si>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</si>
  <si>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</si>
  <si>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</si>
  <si>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</si>
  <si>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</si>
  <si>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</si>
  <si>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</si>
  <si>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</si>
  <si>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</si>
  <si>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</si>
  <si>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</si>
  <si>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</si>
  <si>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</si>
  <si>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</si>
  <si>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</si>
  <si>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</si>
  <si>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</si>
  <si>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</si>
  <si>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</si>
  <si>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</si>
  <si>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</si>
  <si>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</si>
  <si>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</si>
  <si>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</si>
  <si>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</si>
  <si>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</si>
  <si>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</si>
  <si>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</si>
  <si>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</si>
  <si>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</si>
  <si>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</si>
  <si>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</si>
  <si>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</si>
  <si>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</si>
  <si>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</si>
  <si>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</si>
  <si>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</si>
  <si>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</si>
  <si>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</si>
  <si>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</si>
  <si>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</si>
  <si>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</si>
  <si>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</si>
  <si>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</si>
  <si>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</si>
  <si>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</si>
  <si>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</si>
  <si>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</si>
  <si>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</si>
  <si>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</si>
  <si>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</si>
  <si>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</si>
  <si>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</si>
  <si>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</si>
  <si>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</si>
  <si>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</si>
  <si>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</si>
  <si>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</si>
  <si>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</si>
  <si>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</si>
  <si>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</si>
  <si>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</si>
  <si>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</si>
  <si>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</si>
  <si>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</si>
  <si>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</si>
  <si>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</si>
  <si>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</si>
  <si>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</si>
  <si>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</si>
  <si>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</si>
  <si>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</si>
  <si>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</si>
  <si>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</si>
  <si>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</si>
  <si>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</si>
  <si>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</si>
  <si>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</si>
  <si>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</si>
  <si>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</si>
  <si>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</si>
  <si>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</si>
  <si>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</si>
  <si>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</si>
  <si>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</si>
  <si>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</si>
  <si>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</si>
  <si>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</si>
  <si>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</si>
  <si>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</si>
  <si>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</si>
  <si>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</si>
  <si>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</si>
  <si>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</si>
  <si>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</si>
  <si>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</si>
  <si>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</si>
  <si>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</si>
  <si>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</si>
  <si>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</si>
  <si>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</si>
  <si>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</si>
  <si>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</si>
  <si>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</si>
  <si>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</si>
  <si>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</si>
  <si>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</si>
  <si>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</si>
  <si>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</si>
  <si>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</si>
  <si>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</si>
  <si>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</si>
  <si>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</si>
  <si>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</si>
  <si>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</si>
  <si>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</si>
  <si>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</si>
  <si>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</si>
  <si>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</si>
  <si>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</si>
  <si>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</si>
  <si>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</si>
  <si>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</si>
  <si>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</si>
  <si>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</si>
  <si>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</si>
  <si>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</si>
  <si>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</si>
  <si>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</si>
  <si>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</si>
  <si>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</si>
  <si>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</si>
  <si>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</si>
  <si>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</si>
  <si>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</si>
  <si>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</si>
  <si>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</si>
  <si>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</si>
  <si>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</si>
  <si>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</si>
  <si>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</si>
  <si>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</si>
  <si>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</si>
  <si>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</si>
  <si>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</si>
  <si>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</si>
  <si>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</si>
  <si>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</si>
  <si>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</si>
  <si>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</si>
  <si>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</si>
  <si>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</si>
  <si>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</si>
  <si>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</si>
  <si>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</si>
  <si>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</si>
  <si>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</si>
  <si>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</si>
  <si>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</si>
  <si>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</si>
  <si>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</si>
  <si>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</si>
  <si>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</si>
  <si>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</si>
  <si>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</si>
  <si>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</si>
  <si>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</si>
  <si>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</si>
  <si>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</si>
  <si>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</si>
  <si>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</si>
  <si>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</si>
  <si>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</si>
  <si>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</si>
  <si>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</si>
  <si>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</si>
  <si>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</si>
  <si>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</si>
  <si>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</si>
  <si>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</si>
  <si>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</si>
  <si>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</si>
  <si>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</si>
  <si>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</si>
  <si>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</si>
  <si>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</si>
  <si>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</si>
  <si>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</si>
  <si>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</si>
  <si>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</si>
  <si>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</si>
  <si>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</si>
  <si>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</si>
  <si>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</si>
  <si>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</si>
  <si>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</si>
  <si>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</si>
  <si>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</si>
  <si>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</si>
  <si>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</si>
  <si>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</si>
  <si>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</si>
  <si>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</si>
  <si>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</si>
  <si>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</si>
  <si>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</si>
  <si>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</si>
  <si>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</si>
  <si>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</si>
  <si>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</si>
  <si>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</si>
  <si>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</si>
  <si>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</si>
  <si>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</si>
  <si>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</si>
  <si>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</si>
  <si>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</si>
  <si>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</si>
  <si>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</si>
  <si>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</si>
  <si>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</si>
  <si>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</si>
  <si>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</si>
  <si>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</si>
  <si>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</si>
  <si>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</si>
  <si>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</si>
  <si>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</si>
  <si>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</si>
  <si>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</si>
  <si>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</si>
  <si>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</si>
  <si>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</si>
  <si>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</si>
  <si>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</si>
  <si>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</si>
  <si>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</si>
  <si>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</si>
  <si>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</si>
  <si>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</si>
  <si>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</si>
  <si>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</si>
  <si>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</si>
  <si>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</si>
  <si>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</si>
  <si>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</si>
  <si>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</si>
  <si>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</si>
  <si>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</si>
  <si>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</si>
  <si>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</si>
  <si>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</si>
  <si>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</si>
  <si>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</si>
  <si>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</si>
  <si>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</si>
  <si>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</si>
  <si>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</si>
  <si>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</si>
  <si>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</si>
  <si>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</si>
  <si>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</si>
  <si>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</si>
  <si>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</si>
  <si>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</si>
  <si>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</si>
  <si>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</si>
  <si>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</si>
  <si>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</si>
  <si>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</si>
  <si>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</si>
  <si>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</si>
  <si>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</si>
  <si>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</si>
  <si>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</si>
  <si>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</si>
  <si>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</si>
  <si>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</si>
  <si>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</si>
  <si>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</si>
  <si>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</si>
  <si>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</si>
  <si>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</si>
  <si>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</si>
  <si>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</si>
  <si>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</si>
  <si>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</si>
  <si>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</si>
  <si>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</si>
  <si>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</si>
  <si>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</si>
  <si>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</si>
  <si>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</si>
  <si>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</si>
  <si>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</si>
  <si>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</si>
  <si>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</si>
  <si>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</si>
  <si>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</si>
  <si>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</si>
  <si>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</si>
  <si>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</si>
  <si>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</si>
  <si>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</si>
  <si>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</si>
  <si>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</si>
  <si>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</si>
  <si>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</si>
  <si>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</si>
  <si>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</si>
  <si>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</si>
  <si>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</si>
  <si>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</si>
  <si>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</si>
  <si>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</si>
  <si>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</si>
  <si>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</si>
  <si>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</si>
  <si>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</si>
  <si>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</si>
  <si>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</si>
  <si>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</si>
  <si>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</si>
  <si>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</si>
  <si>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</si>
  <si>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</si>
  <si>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</si>
  <si>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</si>
  <si>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</si>
  <si>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</si>
  <si>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</si>
  <si>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</si>
  <si>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</si>
  <si>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</si>
  <si>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</si>
  <si>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</si>
  <si>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</si>
  <si>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</si>
  <si>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</si>
  <si>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</si>
  <si>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</si>
  <si>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</si>
  <si>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</si>
  <si>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</si>
  <si>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</si>
  <si>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</si>
  <si>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</si>
  <si>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</si>
  <si>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</si>
  <si>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</si>
  <si>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</si>
  <si>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</si>
  <si>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</si>
  <si>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</si>
  <si>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</si>
  <si>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</si>
  <si>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</si>
  <si>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</si>
  <si>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</si>
  <si>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</si>
  <si>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</si>
  <si>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</si>
  <si>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</si>
  <si>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</si>
  <si>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</si>
  <si>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</si>
  <si>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</si>
  <si>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</si>
  <si>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</si>
  <si>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</si>
  <si>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</si>
  <si>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</si>
  <si>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</si>
  <si>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</si>
  <si>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</si>
  <si>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</si>
  <si>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</si>
  <si>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</si>
  <si>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</si>
  <si>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</si>
  <si>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</si>
  <si>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</si>
  <si>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</si>
  <si>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</si>
  <si>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</si>
  <si>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</si>
  <si>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</si>
  <si>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</si>
  <si>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</si>
  <si>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</si>
  <si>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</si>
  <si>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</si>
  <si>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</si>
  <si>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</si>
  <si>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</si>
  <si>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</si>
  <si>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</si>
  <si>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</si>
  <si>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</si>
  <si>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</si>
  <si>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</si>
  <si>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</si>
  <si>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</si>
  <si>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</si>
  <si>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</si>
  <si>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</si>
  <si>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</si>
  <si>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</si>
  <si>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</si>
  <si>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</si>
  <si>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</si>
  <si>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</si>
  <si>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</si>
  <si>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</si>
  <si>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</si>
  <si>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</si>
  <si>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</si>
  <si>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</si>
  <si>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</si>
  <si>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</si>
  <si>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</si>
  <si>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</si>
  <si>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</si>
  <si>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</si>
  <si>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</si>
  <si>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</si>
  <si>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</si>
  <si>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</si>
  <si>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</si>
  <si>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</si>
  <si>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</si>
  <si>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</si>
  <si>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</si>
  <si>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</si>
  <si>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</si>
  <si>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</si>
  <si>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</si>
  <si>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</si>
  <si>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</si>
  <si>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</si>
  <si>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</si>
  <si>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</si>
  <si>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</si>
  <si>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</si>
  <si>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</si>
  <si>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</si>
  <si>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</si>
  <si>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</si>
  <si>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</si>
  <si>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</si>
  <si>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</si>
  <si>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</si>
  <si>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</si>
  <si>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</si>
  <si>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</si>
  <si>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</si>
  <si>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</si>
  <si>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</si>
  <si>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</si>
  <si>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</si>
  <si>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</si>
  <si>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</si>
  <si>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</si>
  <si>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</si>
  <si>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</si>
  <si>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</si>
  <si>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</si>
  <si>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</si>
  <si>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</si>
  <si>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</si>
  <si>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</si>
  <si>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</si>
  <si>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</si>
  <si>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</si>
  <si>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</si>
  <si>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</si>
  <si>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</si>
  <si>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</si>
  <si>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</si>
  <si>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</si>
  <si>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</si>
  <si>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</si>
  <si>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</si>
  <si>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</si>
  <si>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</si>
  <si>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</si>
  <si>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</si>
  <si>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</si>
  <si>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</si>
  <si>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</si>
  <si>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</si>
  <si>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</si>
  <si>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</si>
  <si>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</si>
  <si>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</si>
  <si>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</si>
  <si>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</si>
  <si>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</si>
  <si>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</si>
  <si>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</si>
  <si>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</si>
  <si>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</si>
  <si>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</si>
  <si>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</si>
  <si>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</si>
  <si>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</si>
  <si>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</si>
  <si>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</si>
  <si>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</si>
  <si>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</si>
  <si>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</si>
  <si>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</si>
  <si>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</si>
  <si>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</si>
  <si>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</si>
  <si>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</si>
  <si>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</si>
  <si>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</si>
  <si>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</si>
  <si>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</si>
  <si>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</si>
  <si>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</si>
  <si>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</si>
  <si>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</si>
  <si>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</si>
  <si>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</si>
  <si>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</si>
  <si>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</si>
  <si>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</si>
  <si>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</si>
  <si>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</si>
  <si>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</si>
  <si>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</si>
  <si>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</si>
  <si>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</si>
  <si>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</si>
  <si>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</si>
  <si>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</si>
  <si>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</si>
  <si>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</si>
  <si>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</si>
  <si>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</si>
  <si>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</si>
  <si>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</si>
  <si>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</si>
  <si>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</si>
  <si>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</si>
  <si>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</si>
  <si>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</si>
  <si>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</si>
  <si>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</si>
  <si>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</si>
  <si>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</si>
  <si>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</si>
  <si>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</si>
  <si>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</si>
  <si>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</si>
  <si>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</si>
  <si>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</si>
  <si>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</si>
  <si>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</si>
  <si>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</si>
  <si>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</si>
  <si>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</si>
  <si>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</si>
  <si>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</si>
  <si>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</si>
  <si>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</si>
  <si>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</si>
  <si>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</si>
  <si>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</si>
  <si>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</si>
  <si>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</si>
  <si>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</si>
  <si>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</si>
  <si>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</si>
  <si>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</si>
  <si>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</si>
  <si>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</si>
  <si>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</si>
  <si>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</si>
  <si>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</si>
  <si>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</si>
  <si>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</si>
  <si>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</si>
  <si>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</si>
  <si>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</si>
  <si>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</si>
  <si>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</si>
  <si>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</si>
  <si>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</si>
  <si>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</si>
  <si>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</si>
  <si>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</si>
  <si>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</si>
  <si>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</si>
  <si>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</si>
  <si>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</si>
  <si>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</si>
  <si>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</si>
  <si>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</si>
  <si>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</si>
  <si>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</si>
  <si>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</si>
  <si>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</si>
  <si>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</si>
  <si>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</si>
  <si>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</si>
  <si>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</si>
  <si>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</si>
  <si>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</si>
  <si>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</si>
  <si>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</si>
  <si>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</si>
  <si>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</si>
  <si>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</si>
  <si>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</si>
  <si>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</si>
  <si>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</si>
  <si>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</si>
  <si>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</si>
  <si>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</si>
  <si>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</si>
  <si>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</si>
  <si>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</si>
  <si>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</si>
  <si>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</si>
  <si>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</si>
  <si>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</si>
  <si>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</si>
  <si>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</si>
  <si>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</si>
  <si>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</si>
  <si>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</si>
  <si>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</si>
  <si>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</si>
  <si>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</si>
  <si>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</si>
  <si>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</si>
  <si>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</si>
  <si>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</si>
  <si>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</si>
  <si>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</si>
  <si>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</si>
  <si>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</si>
  <si>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</si>
  <si>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</si>
  <si>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</si>
  <si>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</si>
  <si>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</si>
  <si>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</si>
  <si>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</si>
  <si>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</si>
  <si>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</si>
  <si>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</si>
  <si>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</si>
  <si>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</si>
  <si>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</si>
  <si>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</si>
  <si>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</si>
  <si>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</si>
  <si>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</si>
  <si>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</si>
  <si>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</si>
  <si>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</si>
  <si>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</si>
  <si>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</si>
  <si>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</si>
  <si>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</si>
  <si>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</si>
  <si>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</si>
  <si>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</si>
  <si>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</si>
  <si>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</si>
  <si>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</si>
  <si>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</si>
  <si>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</si>
  <si>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</si>
  <si>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</si>
  <si>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</si>
  <si>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</si>
  <si>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</si>
  <si>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</si>
  <si>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</si>
  <si>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</si>
  <si>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</si>
  <si>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</si>
  <si>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</si>
  <si>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</si>
  <si>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</si>
  <si>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</si>
  <si>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</si>
  <si>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</si>
  <si>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</si>
  <si>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</si>
  <si>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</si>
  <si>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</si>
  <si>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</si>
  <si>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</si>
  <si>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</si>
  <si>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</si>
  <si>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</si>
  <si>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</si>
  <si>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</si>
  <si>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</si>
  <si>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</si>
  <si>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</si>
  <si>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</si>
  <si>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</si>
  <si>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</si>
  <si>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</si>
  <si>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</si>
  <si>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</si>
  <si>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</si>
  <si>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</si>
  <si>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</si>
  <si>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</si>
  <si>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</si>
  <si>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</si>
  <si>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</si>
  <si>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</si>
  <si>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</si>
  <si>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</si>
  <si>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</si>
  <si>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</si>
  <si>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</si>
  <si>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</si>
  <si>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</si>
  <si>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</si>
  <si>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</si>
  <si>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</si>
  <si>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</si>
  <si>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</si>
  <si>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</si>
  <si>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</si>
  <si>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</si>
  <si>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</si>
  <si>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</si>
  <si>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</si>
  <si>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</si>
  <si>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</si>
  <si>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</si>
  <si>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</si>
  <si>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</si>
  <si>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</si>
  <si>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</si>
  <si>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</si>
  <si>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</si>
  <si>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</si>
  <si>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</si>
  <si>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</si>
  <si>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</si>
  <si>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</si>
  <si>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</si>
  <si>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</si>
  <si>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</si>
  <si>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</si>
  <si>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</si>
  <si>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</si>
  <si>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</si>
  <si>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</si>
  <si>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</si>
  <si>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</si>
  <si>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</si>
  <si>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</si>
  <si>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</si>
  <si>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</si>
  <si>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</si>
  <si>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</si>
  <si>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</si>
  <si>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</si>
  <si>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</si>
  <si>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</si>
  <si>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</si>
  <si>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</si>
  <si>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</si>
  <si>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</si>
  <si>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</si>
  <si>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</si>
  <si>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</si>
  <si>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</si>
  <si>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</si>
  <si>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</si>
  <si>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</si>
  <si>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</si>
  <si>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</si>
  <si>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</si>
  <si>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</si>
  <si>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</si>
  <si>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</si>
  <si>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</si>
  <si>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</si>
  <si>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</si>
  <si>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</si>
  <si>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</si>
  <si>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</si>
  <si>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</si>
  <si>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</si>
  <si>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</si>
  <si>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</si>
  <si>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</si>
  <si>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</si>
  <si>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</si>
  <si>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</si>
  <si>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</si>
  <si>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</si>
  <si>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</si>
  <si>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</si>
  <si>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</si>
  <si>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</si>
  <si>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</si>
  <si>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</si>
  <si>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</si>
  <si>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</si>
  <si>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</si>
  <si>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</si>
  <si>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</si>
  <si>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</si>
  <si>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</si>
  <si>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</si>
  <si>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</si>
  <si>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</si>
  <si>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</si>
  <si>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</si>
  <si>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</si>
  <si>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</si>
  <si>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</si>
  <si>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</si>
  <si>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</si>
  <si>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</si>
  <si>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</si>
  <si>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</si>
  <si>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</si>
  <si>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</si>
  <si>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</si>
  <si>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</si>
  <si>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</si>
  <si>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</si>
  <si>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</si>
  <si>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</si>
  <si>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</si>
  <si>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</si>
  <si>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</si>
  <si>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</si>
  <si>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</si>
  <si>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</si>
  <si>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</si>
  <si>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</si>
  <si>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</si>
  <si>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</si>
  <si>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</si>
  <si>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</si>
  <si>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</si>
  <si>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</si>
  <si>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</si>
  <si>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</si>
  <si>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</si>
  <si>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</si>
  <si>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</si>
  <si>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</si>
  <si>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</si>
  <si>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</si>
  <si>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</si>
  <si>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</si>
  <si>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</si>
  <si>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</si>
  <si>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</si>
  <si>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</si>
  <si>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</si>
  <si>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</si>
  <si>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</si>
  <si>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</si>
  <si>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</si>
  <si>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</si>
  <si>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</si>
  <si>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</si>
  <si>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</si>
  <si>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</si>
  <si>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</si>
  <si>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</si>
  <si>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</si>
  <si>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</si>
  <si>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</si>
  <si>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</si>
  <si>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</si>
  <si>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</si>
  <si>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</si>
  <si>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</si>
  <si>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</si>
  <si>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</si>
  <si>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</si>
  <si>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</si>
  <si>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</si>
  <si>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</si>
  <si>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</si>
  <si>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</si>
  <si>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</si>
  <si>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</si>
  <si>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</si>
  <si>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</si>
  <si>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</si>
  <si>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</si>
  <si>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</si>
  <si>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</si>
  <si>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</si>
  <si>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</si>
  <si>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</si>
  <si>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</si>
  <si>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</si>
  <si>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</si>
  <si>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</si>
  <si>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</si>
  <si>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</si>
  <si>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</si>
  <si>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</si>
  <si>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</si>
  <si>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</si>
  <si>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</si>
  <si>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</si>
  <si>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</si>
  <si>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</si>
  <si>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</si>
  <si>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</si>
  <si>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</si>
  <si>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</si>
  <si>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</si>
  <si>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</si>
  <si>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</si>
  <si>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</si>
  <si>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</si>
  <si>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</si>
  <si>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</si>
  <si>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</si>
  <si>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</si>
  <si>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</si>
  <si>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</si>
  <si>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</si>
  <si>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</si>
  <si>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</si>
  <si>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</si>
  <si>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</si>
  <si>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</si>
  <si>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</si>
  <si>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</si>
  <si>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</si>
  <si>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</si>
  <si>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</si>
  <si>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</si>
  <si>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</si>
  <si>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</si>
  <si>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</si>
  <si>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</si>
  <si>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</si>
  <si>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</si>
  <si>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</si>
  <si>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</si>
  <si>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</si>
  <si>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</si>
  <si>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</si>
  <si>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</si>
  <si>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</si>
  <si>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</si>
  <si>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</si>
  <si>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</si>
  <si>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</si>
  <si>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</si>
  <si>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</si>
  <si>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</si>
  <si>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</si>
  <si>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</si>
  <si>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</si>
  <si>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</si>
  <si>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</si>
  <si>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</si>
  <si>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</si>
  <si>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</si>
  <si>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</si>
  <si>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</si>
  <si>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</si>
  <si>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</si>
  <si>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</si>
  <si>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</si>
  <si>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</si>
  <si>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</si>
  <si>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</si>
  <si>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</si>
  <si>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</si>
  <si>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</si>
  <si>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</si>
  <si>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</si>
  <si>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</si>
  <si>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</si>
  <si>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</si>
  <si>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</si>
  <si>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</si>
  <si>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</si>
  <si>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</si>
  <si>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</si>
  <si>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</si>
  <si>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</si>
  <si>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</si>
  <si>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</si>
  <si>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</si>
  <si>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</si>
  <si>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</si>
  <si>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</si>
  <si>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</si>
  <si>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</si>
  <si>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</si>
  <si>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</si>
  <si>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</si>
  <si>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</si>
  <si>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</si>
  <si>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</si>
  <si>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</si>
  <si>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</si>
  <si>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</si>
  <si>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</si>
  <si>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</si>
  <si>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</si>
  <si>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</si>
  <si>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</si>
  <si>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</si>
  <si>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</si>
  <si>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</si>
  <si>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</si>
  <si>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</si>
  <si>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</si>
  <si>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</si>
  <si>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</si>
  <si>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</si>
  <si>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</si>
  <si>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</si>
  <si>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</si>
  <si>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</si>
  <si>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</si>
  <si>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</si>
  <si>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</si>
  <si>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</si>
  <si>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</si>
  <si>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</si>
  <si>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</si>
  <si>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</si>
  <si>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</si>
  <si>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</si>
  <si>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</si>
  <si>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</si>
  <si>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</si>
  <si>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</si>
  <si>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</si>
  <si>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</si>
  <si>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</si>
  <si>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</si>
  <si>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</si>
  <si>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</si>
  <si>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</si>
  <si>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</si>
  <si>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</si>
  <si>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</si>
  <si>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</si>
  <si>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</si>
  <si>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</si>
  <si>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</si>
  <si>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</si>
  <si>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</si>
  <si>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</si>
  <si>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</si>
  <si>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</si>
  <si>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</si>
  <si>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</si>
  <si>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</si>
  <si>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</si>
  <si>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</si>
  <si>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</si>
  <si>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</si>
  <si>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</si>
  <si>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</si>
  <si>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</si>
  <si>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</si>
  <si>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</si>
  <si>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</si>
  <si>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</si>
  <si>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</si>
  <si>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</si>
  <si>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</si>
  <si>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</si>
  <si>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</si>
  <si>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</si>
  <si>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</si>
  <si>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</si>
  <si>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</si>
  <si>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</si>
  <si>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</si>
  <si>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</si>
  <si>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</si>
  <si>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</si>
  <si>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</si>
  <si>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</si>
  <si>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</si>
  <si>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</si>
  <si>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</si>
  <si>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</si>
  <si>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</si>
  <si>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</si>
  <si>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</si>
  <si>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</si>
  <si>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</si>
  <si>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</si>
  <si>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</si>
  <si>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</si>
  <si>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</si>
  <si>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</si>
  <si>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</si>
  <si>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</si>
  <si>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</si>
  <si>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</si>
  <si>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</si>
  <si>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</si>
  <si>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</si>
  <si>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</si>
  <si>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</si>
  <si>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</si>
  <si>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</si>
  <si>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</si>
  <si>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</si>
  <si>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</si>
  <si>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</si>
  <si>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</si>
  <si>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</si>
  <si>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</si>
  <si>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</si>
  <si>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</si>
  <si>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</si>
  <si>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</si>
  <si>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</si>
  <si>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</si>
  <si>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</si>
  <si>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</si>
  <si>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</si>
  <si>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</si>
  <si>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</si>
  <si>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</si>
  <si>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</si>
  <si>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</si>
  <si>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</si>
  <si>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</si>
  <si>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</si>
  <si>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</si>
  <si>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</si>
  <si>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</si>
  <si>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</si>
  <si>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</si>
  <si>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</si>
  <si>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</si>
  <si>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</si>
  <si>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</si>
  <si>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</si>
  <si>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</si>
  <si>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</si>
  <si>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</si>
  <si>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</si>
  <si>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</si>
  <si>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</si>
  <si>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</si>
  <si>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</si>
  <si>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</si>
  <si>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</si>
  <si>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</si>
  <si>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</si>
  <si>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</si>
  <si>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</si>
  <si>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</si>
  <si>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</si>
  <si>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</si>
  <si>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</si>
  <si>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</si>
  <si>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</si>
  <si>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</si>
  <si>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</si>
  <si>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</si>
  <si>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</si>
  <si>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</si>
  <si>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</si>
  <si>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</si>
  <si>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</si>
  <si>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</si>
  <si>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</si>
  <si>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</si>
  <si>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</si>
  <si>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</si>
  <si>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</si>
  <si>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</si>
  <si>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</si>
  <si>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</si>
  <si>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</si>
  <si>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</si>
  <si>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</si>
  <si>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</si>
  <si>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</si>
  <si>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</si>
  <si>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</si>
  <si>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</si>
  <si>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</si>
  <si>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</si>
  <si>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</si>
  <si>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</si>
  <si>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</si>
  <si>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</si>
  <si>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</si>
  <si>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</si>
  <si>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</si>
  <si>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</si>
  <si>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</si>
  <si>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</si>
  <si>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</si>
  <si>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</si>
  <si>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</si>
  <si>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</si>
  <si>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</si>
  <si>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</si>
  <si>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</si>
  <si>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</si>
  <si>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</si>
  <si>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</si>
  <si>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</si>
  <si>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</si>
  <si>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</si>
  <si>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</si>
  <si>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</si>
  <si>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</si>
  <si>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</si>
  <si>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</si>
  <si>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</si>
  <si>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</si>
  <si>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</si>
  <si>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</si>
  <si>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</si>
  <si>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</si>
  <si>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</si>
  <si>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</si>
  <si>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</si>
  <si>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</si>
  <si>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</si>
  <si>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</si>
  <si>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</si>
  <si>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</si>
  <si>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</si>
  <si>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</si>
  <si>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</si>
  <si>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</si>
  <si>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</si>
  <si>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</si>
  <si>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</si>
  <si>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</si>
  <si>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</si>
  <si>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</si>
  <si>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</si>
  <si>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</si>
  <si>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</si>
  <si>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</si>
  <si>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</si>
  <si>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</si>
  <si>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</si>
  <si>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</si>
  <si>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</si>
  <si>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</si>
  <si>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</si>
  <si>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</si>
  <si>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</si>
  <si>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</si>
  <si>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</si>
  <si>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</si>
  <si>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</si>
  <si>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</si>
  <si>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</si>
  <si>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</si>
  <si>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</si>
  <si>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</si>
  <si>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</si>
  <si>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</si>
  <si>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</si>
  <si>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</si>
  <si>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</si>
  <si>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</si>
  <si>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</si>
  <si>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</si>
  <si>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</si>
  <si>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</si>
  <si>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</si>
  <si>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</si>
  <si>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</si>
  <si>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</si>
  <si>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</si>
  <si>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</si>
  <si>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</si>
  <si>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</si>
  <si>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</si>
  <si>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</si>
  <si>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</si>
  <si>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</si>
  <si>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</si>
  <si>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</si>
  <si>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</si>
  <si>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</si>
  <si>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</si>
  <si>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</si>
  <si>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</si>
  <si>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</si>
  <si>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</si>
  <si>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</si>
  <si>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</si>
  <si>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</si>
  <si>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</si>
  <si>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</si>
  <si>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</si>
  <si>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</si>
  <si>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</si>
  <si>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</si>
  <si>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</si>
  <si>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</si>
  <si>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</si>
  <si>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</si>
  <si>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</si>
  <si>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</si>
  <si>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</si>
  <si>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</si>
  <si>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</si>
  <si>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</si>
  <si>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</si>
  <si>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</si>
  <si>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</si>
  <si>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</si>
  <si>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</si>
  <si>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</si>
  <si>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</si>
  <si>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</si>
  <si>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</si>
  <si>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</si>
  <si>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</si>
  <si>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</si>
  <si>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</si>
  <si>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</si>
  <si>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</si>
  <si>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</si>
  <si>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</si>
  <si>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</si>
  <si>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</si>
  <si>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</si>
  <si>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</si>
  <si>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</si>
  <si>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</si>
  <si>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</si>
  <si>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</si>
  <si>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</si>
  <si>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</si>
  <si>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</si>
  <si>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</si>
  <si>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</si>
  <si>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</si>
  <si>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</si>
  <si>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</si>
  <si>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</si>
  <si>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</si>
  <si>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</si>
  <si>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</si>
  <si>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</si>
  <si>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</si>
  <si>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</si>
  <si>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</si>
  <si>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</si>
  <si>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</si>
  <si>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</si>
  <si>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</si>
  <si>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</si>
  <si>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</si>
  <si>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</si>
  <si>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</si>
  <si>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</si>
  <si>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</si>
  <si>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</si>
  <si>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</si>
  <si>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</si>
  <si>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</si>
  <si>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</si>
  <si>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</si>
  <si>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</si>
  <si>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</si>
  <si>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</si>
  <si>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</si>
  <si>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</si>
  <si>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</si>
  <si>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</si>
  <si>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</si>
  <si>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</si>
  <si>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</si>
  <si>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</si>
  <si>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</si>
  <si>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</si>
  <si>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</si>
  <si>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</si>
  <si>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</si>
  <si>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</si>
  <si>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</si>
  <si>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</si>
  <si>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</si>
  <si>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</si>
  <si>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</si>
  <si>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</si>
  <si>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</si>
  <si>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</si>
  <si>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</si>
  <si>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</si>
  <si>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</si>
  <si>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</si>
  <si>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</si>
  <si>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</si>
  <si>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</si>
  <si>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</si>
  <si>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</si>
  <si>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</si>
  <si>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</si>
  <si>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</si>
  <si>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</si>
  <si>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</si>
  <si>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</si>
  <si>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</si>
  <si>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</si>
  <si>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</si>
  <si>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</si>
  <si>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</si>
  <si>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</si>
  <si>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</si>
  <si>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</si>
  <si>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</si>
  <si>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</si>
  <si>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</si>
  <si>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</si>
  <si>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</si>
  <si>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</si>
  <si>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</si>
  <si>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</si>
  <si>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</si>
  <si>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</si>
  <si>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</si>
  <si>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</si>
  <si>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</si>
  <si>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</si>
  <si>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</si>
  <si>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</si>
  <si>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</si>
  <si>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</si>
  <si>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</si>
  <si>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</si>
  <si>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</si>
  <si>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</si>
  <si>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</si>
  <si>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</si>
  <si>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</si>
  <si>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</si>
  <si>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</si>
  <si>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</si>
  <si>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</si>
  <si>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</si>
  <si>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</si>
  <si>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</si>
  <si>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</si>
  <si>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</si>
  <si>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</si>
  <si>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</si>
  <si>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</si>
  <si>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</si>
  <si>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</si>
  <si>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</si>
  <si>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</si>
  <si>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</si>
  <si>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</si>
  <si>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</si>
  <si>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</si>
  <si>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</si>
  <si>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</si>
  <si>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</si>
  <si>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</si>
  <si>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</si>
  <si>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</si>
  <si>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</si>
  <si>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</si>
  <si>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</si>
  <si>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</si>
  <si>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</si>
  <si>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</si>
  <si>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</si>
  <si>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</si>
  <si>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</si>
  <si>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</si>
  <si>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</si>
  <si>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</si>
  <si>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</si>
  <si>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</si>
  <si>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</si>
  <si>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</si>
  <si>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</si>
  <si>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</si>
  <si>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</si>
  <si>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</si>
  <si>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</si>
  <si>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</si>
  <si>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</si>
  <si>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</si>
  <si>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</si>
  <si>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</si>
  <si>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</si>
  <si>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</si>
  <si>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</si>
  <si>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</si>
  <si>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</si>
  <si>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</si>
  <si>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</si>
  <si>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</si>
  <si>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</si>
  <si>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</si>
  <si>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</si>
  <si>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</si>
  <si>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</si>
  <si>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</si>
  <si>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</si>
  <si>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</si>
  <si>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</si>
  <si>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</si>
  <si>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</si>
  <si>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</si>
  <si>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</si>
  <si>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</si>
  <si>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</si>
  <si>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</si>
  <si>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</si>
  <si>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</si>
  <si>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</si>
  <si>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</si>
  <si>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</si>
  <si>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</si>
  <si>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</si>
  <si>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</si>
  <si>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</si>
  <si>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</si>
  <si>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</si>
  <si>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</si>
  <si>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</si>
  <si>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</si>
  <si>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</si>
  <si>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</si>
  <si>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</si>
  <si>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</si>
  <si>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</si>
  <si>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</si>
  <si>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</si>
  <si>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</si>
  <si>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</si>
  <si>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</si>
  <si>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</si>
  <si>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</si>
  <si>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</si>
  <si>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</si>
  <si>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</si>
  <si>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</si>
  <si>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</si>
  <si>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</si>
  <si>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</si>
  <si>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</si>
  <si>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</si>
  <si>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</si>
  <si>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</si>
  <si>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</si>
  <si>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</si>
  <si>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</si>
  <si>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</si>
  <si>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</si>
  <si>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</si>
  <si>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</si>
  <si>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</si>
  <si>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</si>
  <si>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</si>
  <si>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</si>
  <si>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</si>
  <si>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</si>
  <si>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</si>
  <si>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</si>
  <si>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</si>
  <si>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</si>
  <si>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</si>
  <si>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</si>
  <si>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</si>
  <si>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</si>
  <si>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</si>
  <si>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</si>
  <si>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</si>
  <si>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</si>
  <si>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</si>
  <si>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</si>
  <si>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</si>
  <si>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</si>
  <si>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</si>
  <si>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</si>
  <si>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</si>
  <si>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</si>
  <si>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</si>
  <si>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</si>
  <si>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</si>
  <si>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</si>
  <si>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</si>
  <si>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</si>
  <si>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</si>
  <si>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</si>
  <si>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</si>
  <si>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</si>
  <si>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</si>
  <si>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</si>
  <si>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</si>
  <si>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</si>
  <si>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</si>
  <si>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</si>
  <si>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</si>
  <si>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</si>
  <si>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</si>
  <si>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</si>
  <si>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</si>
  <si>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</si>
  <si>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</si>
  <si>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</si>
  <si>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</si>
  <si>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</si>
  <si>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</si>
  <si>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</si>
  <si>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</si>
  <si>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</si>
  <si>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</si>
  <si>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</si>
  <si>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</si>
  <si>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</si>
  <si>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</si>
  <si>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</si>
  <si>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</si>
  <si>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</si>
  <si>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</si>
  <si>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</si>
  <si>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</si>
  <si>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</si>
  <si>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</si>
  <si>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</si>
  <si>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</si>
  <si>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</si>
  <si>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</si>
  <si>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</si>
  <si>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</si>
  <si>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</si>
  <si>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</si>
  <si>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</si>
  <si>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</si>
  <si>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</si>
  <si>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</si>
  <si>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</si>
  <si>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</si>
  <si>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</si>
  <si>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</si>
  <si>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</si>
  <si>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</si>
  <si>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</si>
  <si>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</si>
  <si>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</si>
  <si>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</si>
  <si>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</si>
  <si>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</si>
  <si>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</si>
  <si>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</si>
  <si>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</si>
  <si>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</si>
  <si>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</si>
  <si>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</si>
  <si>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</si>
  <si>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</si>
  <si>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</si>
  <si>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</si>
  <si>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</si>
  <si>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</si>
  <si>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</si>
  <si>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</si>
  <si>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</si>
  <si>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</si>
  <si>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</si>
  <si>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</si>
  <si>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</si>
  <si>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</si>
  <si>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</si>
  <si>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</si>
  <si>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</si>
  <si>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</si>
  <si>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</si>
  <si>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</si>
  <si>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</si>
  <si>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</si>
  <si>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</si>
  <si>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</si>
  <si>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</si>
  <si>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</si>
  <si>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</si>
  <si>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</si>
  <si>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</si>
  <si>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</si>
  <si>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</si>
  <si>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</si>
  <si>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</si>
  <si>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</si>
  <si>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</si>
  <si>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</si>
  <si>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</si>
  <si>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</si>
  <si>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</si>
  <si>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</si>
  <si>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</si>
  <si>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</si>
  <si>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</si>
  <si>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</si>
  <si>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</si>
  <si>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</si>
  <si>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</si>
  <si>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</si>
  <si>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</si>
  <si>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</si>
  <si>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</si>
  <si>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</si>
  <si>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</si>
  <si>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</si>
  <si>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</si>
  <si>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</si>
  <si>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</si>
  <si>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</si>
  <si>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</si>
  <si>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</si>
  <si>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</si>
  <si>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</si>
  <si>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</si>
  <si>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</si>
  <si>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</si>
  <si>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</si>
  <si>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</si>
  <si>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</si>
  <si>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</si>
  <si>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</si>
  <si>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</si>
  <si>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</si>
  <si>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</si>
  <si>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</si>
  <si>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</si>
  <si>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</si>
  <si>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</si>
  <si>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</si>
  <si>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</si>
  <si>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</si>
  <si>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</si>
  <si>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</si>
  <si>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</si>
  <si>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</si>
  <si>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</si>
  <si>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</si>
  <si>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</si>
  <si>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</si>
  <si>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</si>
  <si>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</si>
  <si>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</si>
  <si>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</si>
  <si>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</si>
  <si>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</si>
  <si>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</si>
  <si>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</si>
  <si>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</si>
  <si>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</si>
  <si>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</si>
  <si>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</si>
  <si>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</si>
  <si>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</si>
  <si>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</si>
  <si>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</si>
  <si>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</si>
  <si>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</si>
  <si>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</si>
  <si>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</si>
  <si>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</si>
  <si>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</si>
  <si>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</si>
  <si>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</si>
  <si>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</si>
  <si>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</si>
  <si>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</si>
  <si>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</si>
  <si>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</si>
  <si>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</si>
  <si>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</si>
  <si>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</si>
  <si>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</si>
  <si>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</si>
  <si>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</si>
  <si>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</si>
  <si>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</si>
  <si>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</si>
  <si>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</si>
  <si>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</si>
  <si>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</si>
  <si>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</si>
  <si>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</si>
  <si>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</si>
  <si>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</si>
  <si>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</si>
  <si>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</si>
  <si>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</si>
  <si>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</si>
  <si>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</si>
  <si>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</si>
  <si>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</si>
  <si>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</si>
  <si>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</si>
  <si>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</si>
  <si>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</si>
  <si>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</si>
  <si>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</si>
  <si>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</si>
  <si>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</si>
  <si>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</si>
  <si>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</si>
  <si>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</si>
  <si>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</si>
  <si>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</si>
  <si>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</si>
  <si>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</si>
  <si>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</si>
  <si>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</si>
  <si>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</si>
  <si>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</si>
  <si>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</si>
  <si>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</si>
  <si>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</si>
  <si>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</si>
  <si>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</si>
  <si>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</si>
  <si>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</si>
  <si>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</si>
  <si>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</si>
  <si>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</si>
  <si>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</si>
  <si>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</si>
  <si>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</si>
  <si>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</si>
  <si>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</si>
  <si>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</si>
  <si>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</si>
  <si>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</si>
  <si>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</si>
  <si>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</si>
  <si>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</si>
  <si>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</si>
  <si>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</si>
  <si>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</si>
  <si>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</si>
  <si>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</si>
  <si>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</si>
  <si>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</si>
  <si>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</si>
  <si>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</si>
  <si>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</si>
  <si>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</si>
  <si>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</si>
  <si>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</si>
  <si>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</si>
  <si>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</si>
  <si>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</si>
  <si>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</si>
  <si>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</si>
  <si>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</si>
  <si>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</si>
  <si>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</si>
  <si>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</si>
  <si>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</si>
  <si>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</si>
  <si>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</si>
  <si>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</si>
  <si>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</si>
  <si>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</si>
  <si>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</si>
  <si>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</si>
  <si>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</si>
  <si>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</si>
  <si>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</si>
  <si>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</si>
  <si>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</si>
  <si>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</si>
  <si>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</si>
  <si>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</si>
  <si>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</si>
  <si>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</si>
  <si>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</si>
  <si>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</si>
  <si>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</si>
  <si>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</si>
  <si>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</si>
  <si>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</si>
  <si>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</si>
  <si>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</si>
  <si>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</si>
  <si>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</si>
  <si>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</si>
  <si>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</si>
  <si>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</si>
  <si>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</si>
  <si>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</si>
  <si>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</si>
  <si>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</si>
  <si>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</si>
  <si>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</si>
  <si>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</si>
  <si>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</si>
  <si>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</si>
  <si>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</si>
  <si>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</si>
  <si>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</si>
  <si>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</si>
  <si>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</si>
  <si>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</si>
  <si>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</si>
  <si>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</si>
  <si>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</si>
  <si>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</si>
  <si>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</si>
  <si>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</si>
  <si>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</si>
  <si>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</si>
  <si>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</si>
  <si>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</si>
  <si>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</si>
  <si>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</si>
  <si>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</si>
  <si>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</si>
  <si>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</si>
  <si>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</si>
  <si>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</si>
  <si>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</si>
  <si>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</si>
  <si>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</si>
  <si>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</si>
  <si>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</si>
  <si>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</si>
  <si>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</si>
  <si>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</si>
  <si>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</si>
  <si>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</si>
  <si>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</si>
  <si>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</si>
  <si>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</si>
  <si>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</si>
  <si>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</si>
  <si>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</si>
  <si>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</si>
  <si>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</si>
  <si>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</si>
  <si>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</si>
  <si>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</si>
  <si>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</si>
  <si>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</si>
  <si>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</si>
  <si>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</si>
  <si>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</si>
  <si>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</si>
  <si>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</si>
  <si>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</si>
  <si>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</si>
  <si>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</si>
  <si>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</si>
  <si>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</si>
  <si>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</si>
  <si>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</si>
  <si>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</si>
  <si>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</si>
  <si>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</si>
  <si>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</si>
  <si>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</si>
  <si>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</si>
  <si>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</si>
  <si>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</si>
  <si>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</si>
  <si>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</si>
  <si>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</si>
  <si>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</si>
  <si>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</si>
  <si>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</si>
  <si>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</si>
  <si>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</si>
  <si>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</si>
  <si>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</si>
  <si>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</si>
  <si>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</si>
  <si>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</si>
  <si>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</si>
  <si>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</si>
  <si>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</si>
  <si>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</si>
  <si>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</si>
  <si>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</si>
  <si>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</si>
  <si>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</si>
  <si>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</si>
  <si>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</si>
  <si>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</si>
  <si>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</si>
  <si>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</si>
  <si>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</si>
  <si>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</si>
  <si>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</si>
  <si>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</si>
  <si>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</si>
  <si>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</si>
  <si>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</si>
  <si>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</si>
  <si>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</si>
  <si>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</si>
  <si>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</si>
  <si>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</si>
  <si>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</si>
  <si>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</si>
  <si>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</si>
  <si>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</si>
  <si>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</si>
  <si>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</si>
  <si>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</si>
  <si>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</si>
  <si>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</si>
  <si>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</si>
  <si>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</si>
  <si>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</si>
  <si>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</si>
  <si>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</si>
  <si>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</si>
  <si>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</si>
  <si>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</si>
  <si>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</si>
  <si>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</si>
  <si>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</si>
  <si>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</si>
  <si>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</si>
  <si>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</si>
  <si>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</si>
  <si>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</si>
  <si>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</si>
  <si>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</si>
  <si>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</si>
  <si>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</si>
  <si>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</si>
  <si>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</si>
  <si>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</si>
  <si>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</si>
  <si>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</si>
  <si>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</si>
  <si>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</si>
  <si>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</si>
  <si>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</si>
  <si>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</si>
  <si>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</si>
  <si>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</si>
  <si>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</si>
  <si>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</si>
  <si>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</si>
  <si>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</si>
  <si>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</si>
  <si>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</si>
  <si>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</si>
  <si>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</si>
  <si>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</si>
  <si>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</si>
  <si>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</si>
  <si>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</si>
  <si>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</si>
  <si>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</si>
  <si>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</si>
  <si>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</si>
  <si>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</si>
  <si>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</si>
  <si>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</si>
  <si>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</si>
  <si>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</si>
  <si>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</si>
  <si>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</si>
  <si>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</si>
  <si>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</si>
  <si>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</si>
  <si>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</si>
  <si>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</si>
  <si>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</si>
  <si>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</si>
  <si>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</si>
  <si>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</si>
  <si>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</si>
  <si>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</si>
  <si>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</si>
  <si>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</si>
  <si>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</si>
  <si>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</si>
  <si>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</si>
  <si>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</si>
  <si>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</si>
  <si>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</si>
  <si>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</si>
  <si>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</si>
  <si>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</si>
  <si>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</si>
  <si>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</si>
  <si>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</si>
  <si>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</si>
  <si>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</si>
  <si>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</si>
  <si>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</si>
  <si>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</si>
  <si>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</si>
  <si>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</si>
  <si>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</si>
  <si>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</si>
  <si>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</si>
  <si>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</si>
  <si>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</si>
  <si>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</si>
  <si>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</si>
  <si>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</si>
  <si>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</si>
  <si>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</si>
  <si>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</si>
  <si>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</si>
  <si>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</si>
  <si>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</si>
  <si>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</si>
  <si>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</si>
  <si>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</si>
  <si>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</si>
  <si>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</si>
  <si>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</si>
  <si>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</si>
  <si>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</si>
  <si>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</si>
  <si>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</si>
  <si>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</si>
  <si>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</si>
  <si>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</si>
  <si>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</si>
  <si>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</si>
  <si>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</si>
  <si>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</si>
  <si>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</si>
  <si>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</si>
  <si>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</si>
  <si>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</si>
  <si>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</si>
  <si>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</si>
  <si>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</si>
  <si>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</si>
  <si>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</si>
  <si>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</si>
  <si>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</si>
  <si>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</si>
  <si>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</si>
  <si>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</si>
  <si>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</si>
  <si>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</si>
  <si>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</si>
  <si>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</si>
  <si>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</si>
  <si>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</si>
  <si>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</si>
  <si>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</si>
  <si>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</si>
  <si>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</si>
  <si>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</si>
  <si>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</si>
  <si>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</si>
  <si>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</si>
  <si>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</si>
  <si>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</si>
  <si>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</si>
  <si>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</si>
  <si>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</si>
  <si>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</si>
  <si>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</si>
  <si>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</si>
  <si>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</si>
  <si>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</si>
  <si>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</si>
  <si>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</si>
  <si>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</si>
  <si>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</si>
  <si>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</si>
  <si>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</si>
  <si>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</si>
  <si>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</si>
  <si>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</si>
  <si>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</si>
  <si>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</si>
  <si>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</si>
  <si>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</si>
  <si>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</si>
  <si>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</si>
  <si>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</si>
  <si>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</si>
  <si>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</si>
  <si>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</si>
  <si>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</si>
  <si>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</si>
  <si>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</si>
  <si>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</si>
  <si>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</si>
  <si>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</si>
  <si>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</si>
  <si>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</si>
  <si>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</si>
  <si>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</si>
  <si>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</si>
  <si>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</si>
  <si>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</si>
  <si>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</si>
  <si>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</si>
  <si>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</si>
  <si>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</si>
  <si>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</si>
  <si>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</si>
  <si>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</si>
  <si>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</si>
  <si>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</si>
  <si>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</si>
  <si>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</si>
  <si>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</si>
  <si>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</si>
  <si>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</si>
  <si>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</si>
  <si>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</si>
  <si>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</si>
  <si>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</si>
  <si>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</si>
  <si>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</si>
  <si>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</si>
  <si>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</si>
  <si>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</si>
  <si>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</si>
  <si>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</si>
  <si>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</si>
  <si>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</si>
  <si>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</si>
  <si>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</si>
  <si>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</si>
  <si>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</si>
  <si>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</si>
  <si>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</si>
  <si>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</si>
  <si>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</si>
  <si>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</si>
  <si>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</si>
  <si>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</si>
  <si>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</si>
  <si>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</si>
  <si>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</si>
  <si>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</si>
  <si>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</si>
  <si>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</si>
  <si>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</si>
  <si>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</si>
  <si>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</si>
  <si>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</si>
  <si>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</si>
  <si>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</si>
  <si>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</si>
  <si>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</si>
  <si>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</si>
  <si>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</si>
  <si>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</si>
  <si>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</si>
  <si>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</si>
  <si>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</si>
  <si>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</si>
  <si>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</si>
  <si>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</si>
  <si>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</si>
  <si>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</si>
  <si>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</si>
  <si>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</si>
  <si>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</si>
  <si>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</si>
  <si>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</si>
  <si>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</si>
  <si>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</si>
  <si>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</si>
  <si>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</si>
  <si>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</si>
  <si>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</si>
  <si>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</si>
  <si>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</si>
  <si>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</si>
  <si>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</si>
  <si>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</si>
  <si>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</si>
  <si>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</si>
  <si>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</si>
  <si>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</si>
  <si>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</si>
  <si>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</si>
  <si>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</si>
  <si>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</si>
  <si>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</si>
  <si>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</si>
  <si>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</si>
  <si>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</si>
  <si>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</si>
  <si>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</si>
  <si>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</si>
  <si>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</si>
  <si>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</si>
  <si>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</si>
  <si>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</si>
  <si>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</si>
  <si>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</si>
  <si>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</si>
  <si>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</si>
  <si>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</si>
  <si>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</si>
  <si>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</si>
  <si>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</si>
  <si>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</si>
  <si>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</si>
  <si>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</si>
  <si>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</si>
  <si>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</si>
  <si>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</si>
  <si>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</si>
  <si>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</si>
  <si>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</si>
  <si>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</si>
  <si>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</si>
  <si>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</si>
  <si>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</si>
  <si>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</si>
  <si>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</si>
  <si>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</si>
  <si>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</si>
  <si>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</si>
  <si>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</si>
  <si>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</si>
  <si>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</si>
  <si>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</si>
  <si>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</si>
  <si>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</si>
  <si>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</si>
  <si>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</si>
  <si>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</si>
  <si>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</si>
  <si>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</si>
  <si>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</si>
  <si>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</si>
  <si>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</si>
  <si>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</si>
  <si>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</si>
  <si>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</si>
  <si>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</si>
  <si>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</si>
  <si>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</si>
  <si>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</si>
  <si>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</si>
  <si>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</si>
  <si>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</si>
  <si>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</si>
  <si>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</si>
  <si>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</si>
  <si>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</si>
  <si>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</si>
  <si>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</si>
  <si>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</si>
  <si>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</si>
  <si>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</si>
  <si>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</si>
  <si>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</si>
  <si>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</si>
  <si>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</si>
  <si>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</si>
  <si>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</si>
  <si>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</si>
  <si>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</si>
  <si>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</si>
  <si>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</si>
  <si>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</si>
  <si>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</si>
  <si>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</si>
  <si>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</si>
  <si>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</si>
  <si>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</si>
  <si>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</si>
  <si>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</si>
  <si>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</si>
  <si>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</si>
  <si>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</si>
  <si>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</si>
  <si>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</si>
  <si>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</si>
  <si>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</si>
  <si>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</si>
  <si>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</si>
  <si>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</si>
  <si>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</si>
  <si>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</si>
  <si>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</si>
  <si>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</si>
  <si>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</si>
  <si>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</si>
  <si>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</si>
  <si>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</si>
  <si>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</si>
  <si>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</si>
  <si>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</si>
  <si>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</si>
  <si>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</si>
  <si>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</si>
  <si>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</si>
  <si>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</si>
  <si>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</si>
  <si>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</si>
  <si>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</si>
  <si>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</si>
  <si>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</si>
  <si>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</si>
  <si>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</si>
  <si>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</si>
  <si>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</si>
  <si>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</si>
  <si>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</si>
  <si>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</si>
  <si>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</si>
  <si>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</si>
  <si>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</si>
  <si>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</si>
  <si>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</si>
  <si>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</si>
  <si>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</si>
  <si>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</si>
  <si>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</si>
  <si>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</si>
  <si>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</si>
  <si>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</si>
  <si>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</si>
  <si>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</si>
  <si>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</si>
  <si>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</si>
  <si>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</si>
  <si>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</si>
  <si>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</si>
  <si>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</si>
  <si>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</si>
  <si>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</si>
  <si>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</si>
  <si>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</si>
  <si>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</si>
  <si>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</si>
  <si>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</si>
  <si>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</si>
  <si>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</si>
  <si>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</si>
  <si>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</si>
  <si>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</si>
  <si>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</si>
  <si>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</si>
  <si>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</si>
  <si>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</si>
  <si>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</si>
  <si>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</si>
  <si>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</si>
  <si>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</si>
  <si>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</si>
  <si>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</si>
  <si>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</si>
  <si>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</si>
  <si>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</si>
  <si>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</si>
  <si>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</si>
  <si>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</si>
  <si>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</si>
  <si>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</si>
  <si>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</si>
  <si>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</si>
  <si>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</si>
  <si>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</si>
  <si>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</si>
  <si>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</si>
  <si>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</si>
  <si>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</si>
  <si>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</si>
  <si>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</si>
  <si>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</si>
  <si>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</si>
  <si>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</si>
  <si>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</si>
  <si>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</si>
  <si>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</si>
  <si>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</si>
  <si>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</si>
  <si>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</si>
  <si>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</si>
  <si>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</si>
  <si>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</si>
  <si>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</si>
  <si>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</si>
  <si>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</si>
  <si>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</si>
  <si>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</si>
  <si>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</si>
  <si>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</si>
  <si>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</si>
  <si>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</si>
  <si>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</si>
  <si>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</si>
  <si>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</si>
  <si>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</si>
  <si>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</si>
  <si>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</si>
  <si>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</si>
  <si>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</si>
  <si>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</si>
  <si>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</si>
  <si>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</si>
  <si>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</si>
  <si>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</si>
  <si>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</si>
  <si>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</si>
  <si>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</si>
  <si>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</si>
  <si>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</si>
  <si>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</si>
  <si>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</si>
  <si>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</si>
  <si>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</si>
  <si>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</si>
  <si>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</si>
  <si>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</si>
  <si>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</si>
  <si>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</si>
  <si>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</si>
  <si>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</si>
  <si>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</si>
  <si>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</si>
  <si>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</si>
  <si>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</si>
  <si>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</si>
  <si>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</si>
  <si>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</si>
  <si>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</si>
  <si>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</si>
  <si>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</si>
  <si>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</si>
  <si>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</si>
  <si>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</si>
  <si>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</si>
  <si>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</si>
  <si>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</si>
  <si>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</si>
  <si>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</si>
  <si>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</si>
  <si>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</si>
  <si>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</si>
  <si>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</si>
  <si>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</si>
  <si>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</si>
  <si>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</si>
  <si>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</si>
  <si>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</si>
  <si>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</si>
  <si>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</si>
  <si>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</si>
  <si>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</si>
  <si>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</si>
  <si>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</si>
  <si>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</si>
  <si>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</si>
  <si>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</si>
  <si>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</si>
  <si>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</si>
  <si>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</si>
  <si>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</si>
  <si>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</si>
  <si>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</si>
  <si>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</si>
  <si>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</si>
  <si>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</si>
  <si>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</si>
  <si>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</si>
  <si>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</si>
  <si>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</si>
  <si>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</si>
  <si>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</si>
  <si>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</si>
  <si>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</si>
  <si>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</si>
  <si>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</si>
  <si>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</si>
  <si>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</si>
  <si>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</si>
  <si>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</si>
  <si>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</si>
  <si>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</si>
  <si>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</si>
  <si>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</si>
  <si>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</si>
  <si>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</si>
  <si>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</si>
  <si>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</si>
  <si>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</si>
  <si>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</si>
  <si>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</si>
  <si>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</si>
  <si>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</si>
  <si>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</si>
  <si>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</si>
  <si>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</si>
  <si>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</si>
  <si>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</si>
  <si>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</si>
  <si>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</si>
  <si>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</si>
  <si>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</si>
  <si>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</si>
  <si>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</si>
  <si>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</si>
  <si>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</si>
  <si>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</si>
  <si>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</si>
  <si>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</si>
  <si>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</si>
  <si>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</si>
  <si>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</si>
  <si>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</si>
  <si>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</si>
  <si>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</si>
  <si>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</si>
  <si>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</si>
  <si>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</si>
  <si>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</si>
  <si>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</si>
  <si>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</si>
  <si>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</si>
  <si>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</si>
  <si>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</si>
  <si>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</si>
  <si>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</si>
  <si>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</si>
  <si>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</si>
  <si>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</si>
  <si>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</si>
  <si>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</si>
  <si>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</si>
  <si>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</si>
  <si>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</si>
  <si>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</si>
  <si>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</si>
  <si>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</si>
  <si>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</si>
  <si>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</si>
  <si>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</si>
  <si>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</si>
  <si>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</si>
  <si>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</si>
  <si>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</si>
  <si>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</si>
  <si>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</si>
  <si>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</si>
  <si>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</si>
  <si>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</si>
  <si>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</si>
  <si>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</si>
  <si>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</si>
  <si>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</si>
  <si>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</si>
  <si>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</si>
  <si>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</si>
  <si>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</si>
  <si>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</si>
  <si>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</si>
  <si>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</si>
  <si>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</si>
  <si>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</si>
  <si>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</si>
  <si>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</si>
  <si>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</si>
  <si>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</si>
  <si>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</si>
  <si>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</si>
  <si>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</si>
  <si>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</si>
  <si>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</si>
  <si>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</si>
  <si>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</si>
  <si>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</si>
  <si>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</si>
  <si>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</si>
  <si>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</si>
  <si>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</si>
  <si>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</si>
  <si>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</si>
  <si>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</si>
  <si>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</si>
  <si>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</si>
  <si>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</si>
  <si>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</si>
  <si>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</si>
  <si>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</si>
  <si>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</si>
  <si>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</si>
  <si>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</si>
  <si>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</si>
  <si>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</si>
  <si>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</si>
  <si>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</si>
  <si>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</si>
  <si>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</si>
  <si>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</si>
  <si>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</si>
  <si>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</si>
  <si>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</si>
  <si>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</si>
  <si>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</si>
  <si>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</si>
  <si>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</si>
  <si>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</si>
  <si>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</si>
  <si>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</si>
  <si>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</si>
  <si>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</si>
  <si>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</si>
  <si>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</si>
  <si>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</si>
  <si>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</si>
  <si>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</si>
  <si>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</si>
  <si>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</si>
  <si>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</si>
  <si>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</si>
  <si>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</si>
  <si>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</si>
  <si>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</si>
  <si>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</si>
  <si>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</si>
  <si>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</si>
  <si>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</si>
  <si>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</si>
  <si>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</si>
  <si>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</si>
  <si>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</si>
  <si>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</si>
  <si>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</si>
  <si>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</si>
  <si>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</si>
  <si>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</si>
  <si>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</si>
  <si>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</si>
  <si>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</si>
  <si>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</si>
  <si>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</si>
  <si>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</si>
  <si>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</si>
  <si>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</si>
  <si>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</si>
  <si>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</si>
  <si>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</si>
  <si>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</si>
  <si>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</si>
  <si>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</si>
  <si>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</si>
  <si>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</si>
  <si>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</si>
  <si>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</si>
  <si>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</si>
  <si>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</si>
  <si>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</si>
  <si>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</si>
  <si>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</si>
  <si>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</si>
  <si>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</si>
  <si>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</si>
  <si>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</si>
  <si>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</si>
  <si>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</si>
  <si>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</si>
  <si>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</si>
  <si>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</si>
  <si>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</si>
  <si>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</si>
  <si>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</si>
  <si>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</si>
  <si>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</si>
  <si>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</si>
  <si>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</si>
  <si>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</si>
  <si>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</si>
  <si>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</si>
  <si>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</si>
  <si>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</si>
  <si>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</si>
  <si>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</si>
  <si>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</si>
  <si>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</si>
  <si>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</si>
  <si>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</si>
  <si>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</si>
  <si>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</si>
  <si>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</si>
  <si>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</si>
  <si>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</si>
  <si>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</si>
  <si>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</si>
  <si>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</si>
  <si>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</si>
  <si>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</si>
  <si>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</si>
  <si>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</si>
  <si>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</si>
  <si>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</si>
  <si>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</si>
  <si>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</si>
  <si>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</si>
  <si>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</si>
  <si>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</si>
  <si>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</si>
  <si>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</si>
  <si>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</si>
  <si>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</si>
  <si>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</si>
  <si>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</si>
  <si>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</si>
  <si>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</si>
  <si>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</si>
  <si>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</si>
  <si>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</si>
  <si>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</si>
  <si>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</si>
  <si>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</si>
  <si>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</si>
  <si>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</si>
  <si>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</si>
  <si>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</si>
  <si>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</si>
  <si>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</si>
  <si>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</si>
  <si>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</si>
  <si>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</si>
  <si>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</si>
  <si>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</si>
  <si>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</si>
  <si>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</si>
  <si>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</si>
  <si>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</si>
  <si>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</si>
  <si>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</si>
  <si>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</si>
  <si>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</si>
  <si>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</si>
  <si>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</si>
  <si>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</si>
  <si>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</si>
  <si>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</si>
  <si>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</si>
  <si>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</si>
  <si>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</si>
  <si>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</si>
  <si>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</si>
  <si>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</si>
  <si>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</si>
  <si>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</si>
  <si>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</si>
  <si>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</si>
  <si>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</si>
  <si>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</si>
  <si>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</si>
  <si>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</si>
  <si>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</si>
  <si>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</si>
  <si>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</si>
  <si>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</si>
  <si>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</si>
  <si>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</si>
  <si>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</si>
  <si>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</si>
  <si>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</si>
  <si>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</si>
  <si>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</si>
  <si>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</si>
  <si>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</si>
  <si>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</si>
  <si>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</si>
  <si>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</si>
  <si>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</si>
  <si>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</si>
  <si>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</si>
  <si>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</si>
  <si>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</si>
  <si>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</si>
  <si>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</si>
  <si>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</si>
  <si>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</si>
  <si>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</si>
  <si>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</si>
  <si>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</si>
  <si>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</si>
  <si>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</si>
  <si>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</si>
  <si>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</si>
  <si>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</si>
  <si>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</si>
  <si>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</si>
  <si>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</si>
  <si>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</si>
  <si>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</si>
  <si>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</si>
  <si>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</si>
  <si>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</si>
  <si>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</si>
  <si>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</si>
  <si>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</si>
  <si>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</si>
  <si>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</si>
  <si>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</si>
  <si>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</si>
  <si>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</si>
  <si>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</si>
  <si>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</si>
  <si>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</si>
  <si>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</si>
  <si>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</si>
  <si>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</si>
  <si>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</si>
  <si>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</si>
  <si>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</si>
  <si>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</si>
  <si>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</si>
  <si>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</si>
  <si>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</si>
  <si>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</si>
  <si>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</si>
  <si>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</si>
  <si>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</si>
  <si>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</si>
  <si>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</si>
  <si>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</si>
  <si>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</si>
  <si>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</si>
  <si>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</si>
  <si>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</si>
  <si>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</si>
  <si>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</si>
  <si>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</si>
  <si>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</si>
  <si>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</si>
  <si>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</si>
  <si>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</si>
  <si>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</si>
  <si>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</si>
  <si>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</si>
  <si>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</si>
  <si>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</si>
  <si>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</si>
  <si>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</si>
  <si>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</si>
  <si>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</si>
  <si>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</si>
  <si>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</si>
  <si>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</si>
  <si>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</si>
  <si>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</si>
  <si>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</si>
  <si>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</si>
  <si>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</si>
  <si>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</si>
  <si>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</si>
  <si>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</si>
  <si>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</si>
  <si>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</si>
  <si>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</si>
  <si>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</si>
  <si>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</si>
  <si>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</si>
  <si>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</si>
  <si>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</si>
  <si>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</si>
  <si>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</si>
  <si>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</si>
  <si>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</si>
  <si>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</si>
  <si>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</si>
  <si>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</si>
  <si>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</si>
  <si>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</si>
  <si>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</si>
  <si>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</si>
  <si>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</si>
  <si>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</si>
  <si>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</si>
  <si>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</si>
  <si>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</si>
  <si>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</si>
  <si>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</si>
  <si>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</si>
  <si>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</si>
  <si>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</si>
  <si>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</si>
  <si>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</si>
  <si>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</si>
  <si>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</si>
  <si>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</si>
  <si>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</si>
  <si>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</si>
  <si>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</si>
  <si>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</si>
  <si>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</si>
  <si>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</si>
  <si>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</si>
  <si>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</si>
  <si>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</si>
  <si>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</si>
  <si>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</si>
  <si>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</si>
  <si>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</si>
  <si>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</si>
  <si>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</si>
  <si>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</si>
  <si>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</si>
  <si>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</si>
  <si>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</si>
  <si>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</si>
  <si>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</si>
  <si>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</si>
  <si>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</si>
  <si>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</si>
  <si>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</si>
  <si>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</si>
  <si>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</si>
  <si>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</si>
  <si>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</si>
  <si>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</si>
  <si>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</si>
  <si>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</si>
  <si>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</si>
  <si>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</si>
  <si>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</si>
  <si>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</si>
  <si>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</si>
  <si>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</si>
  <si>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</si>
  <si>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</si>
  <si>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</si>
  <si>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</si>
  <si>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</si>
  <si>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</si>
  <si>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</si>
  <si>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</si>
  <si>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</si>
  <si>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</si>
  <si>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</si>
  <si>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</si>
  <si>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</si>
  <si>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</si>
  <si>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</si>
  <si>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</si>
  <si>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</si>
  <si>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</si>
  <si>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</si>
  <si>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</si>
  <si>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</si>
  <si>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</si>
  <si>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</si>
  <si>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</si>
  <si>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</si>
  <si>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</si>
  <si>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</si>
  <si>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</si>
  <si>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</si>
  <si>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</si>
  <si>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</si>
  <si>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</si>
  <si>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</si>
  <si>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</si>
  <si>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</si>
  <si>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</si>
  <si>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</si>
  <si>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</si>
  <si>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</si>
  <si>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</si>
  <si>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</si>
  <si>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</si>
  <si>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</si>
  <si>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</si>
  <si>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</si>
  <si>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</si>
  <si>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</si>
  <si>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</si>
  <si>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</si>
  <si>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</si>
  <si>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</si>
  <si>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</si>
  <si>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</si>
  <si>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</si>
  <si>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</si>
  <si>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</si>
  <si>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</si>
  <si>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</si>
  <si>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</si>
  <si>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</si>
  <si>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</si>
  <si>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</si>
  <si>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</si>
  <si>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</si>
  <si>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</si>
  <si>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</si>
  <si>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</si>
  <si>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</si>
  <si>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</si>
  <si>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</si>
  <si>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</si>
  <si>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</si>
  <si>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</si>
  <si>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</si>
  <si>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</si>
  <si>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</si>
  <si>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</si>
  <si>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</si>
  <si>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</si>
  <si>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</si>
  <si>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</si>
  <si>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</si>
  <si>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</si>
  <si>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</si>
  <si>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</si>
  <si>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</si>
  <si>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</si>
  <si>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</si>
  <si>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</si>
  <si>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</si>
  <si>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</si>
  <si>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</si>
  <si>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</si>
  <si>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</si>
  <si>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</si>
  <si>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</si>
  <si>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</si>
  <si>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</si>
  <si>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</si>
  <si>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</si>
  <si>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</si>
  <si>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</si>
  <si>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</si>
  <si>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</si>
  <si>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</si>
  <si>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</si>
  <si>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</si>
  <si>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</si>
  <si>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</si>
  <si>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</si>
  <si>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</si>
  <si>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</si>
  <si>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</si>
  <si>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</si>
  <si>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</si>
  <si>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</si>
  <si>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</si>
  <si>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</si>
  <si>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</si>
  <si>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</si>
  <si>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</si>
  <si>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</si>
  <si>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</si>
  <si>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</si>
  <si>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</si>
  <si>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</si>
  <si>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</si>
  <si>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</si>
  <si>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</si>
  <si>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</si>
  <si>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</si>
  <si>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</si>
  <si>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</si>
  <si>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</si>
  <si>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</si>
  <si>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</si>
  <si>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</si>
  <si>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</si>
  <si>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</si>
  <si>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</si>
  <si>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</si>
  <si>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</si>
  <si>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</si>
  <si>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</si>
  <si>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</si>
  <si>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</si>
  <si>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</si>
  <si>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</si>
  <si>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</si>
  <si>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</si>
  <si>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</si>
  <si>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</si>
  <si>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</si>
  <si>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</si>
  <si>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</si>
  <si>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</si>
  <si>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</si>
  <si>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</si>
  <si>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</si>
  <si>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</si>
  <si>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</si>
  <si>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</si>
  <si>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</si>
  <si>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</si>
  <si>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</si>
  <si>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</si>
  <si>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</si>
  <si>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</si>
  <si>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</si>
  <si>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</si>
  <si>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</si>
  <si>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</si>
  <si>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</si>
  <si>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</si>
  <si>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</si>
  <si>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</si>
  <si>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</si>
  <si>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</si>
  <si>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</si>
  <si>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</si>
  <si>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</si>
  <si>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</si>
  <si>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</si>
  <si>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</si>
  <si>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</si>
  <si>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</si>
  <si>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</si>
  <si>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</si>
  <si>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</si>
  <si>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</si>
  <si>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</si>
  <si>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</si>
  <si>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</si>
  <si>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</si>
  <si>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</si>
  <si>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</si>
  <si>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</si>
  <si>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</si>
  <si>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</si>
  <si>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</si>
  <si>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</si>
  <si>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</si>
  <si>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</si>
  <si>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</si>
  <si>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</si>
  <si>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</si>
  <si>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</si>
  <si>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</si>
  <si>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</si>
  <si>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</si>
  <si>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</si>
  <si>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</si>
  <si>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</si>
  <si>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</si>
  <si>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</si>
  <si>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</si>
  <si>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</si>
  <si>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</si>
  <si>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</si>
  <si>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</si>
  <si>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</si>
  <si>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</si>
  <si>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</si>
  <si>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</si>
  <si>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</si>
  <si>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</si>
  <si>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</si>
  <si>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</si>
  <si>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</si>
  <si>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</si>
  <si>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</si>
  <si>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</si>
  <si>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</si>
  <si>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</si>
  <si>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</si>
  <si>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</si>
  <si>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</si>
  <si>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</si>
  <si>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</si>
  <si>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</si>
  <si>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</si>
  <si>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</si>
  <si>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</si>
  <si>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</si>
  <si>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</si>
  <si>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</si>
  <si>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</si>
  <si>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</si>
  <si>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</si>
  <si>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</si>
  <si>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</si>
  <si>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</si>
  <si>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</si>
  <si>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</si>
  <si>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</si>
  <si>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</si>
  <si>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</si>
  <si>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</si>
  <si>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</si>
  <si>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</si>
  <si>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</si>
  <si>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</si>
  <si>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</si>
  <si>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</si>
  <si>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</si>
  <si>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</si>
  <si>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</si>
  <si>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</si>
  <si>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</si>
  <si>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</si>
  <si>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</si>
  <si>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</si>
  <si>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</si>
  <si>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</si>
  <si>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</si>
  <si>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</si>
  <si>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</si>
  <si>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</si>
  <si>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</si>
  <si>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</si>
  <si>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</si>
  <si>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</si>
  <si>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</si>
  <si>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</si>
  <si>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</si>
  <si>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</si>
  <si>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</si>
  <si>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</si>
  <si>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</si>
  <si>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</si>
  <si>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</si>
  <si>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</si>
  <si>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</si>
  <si>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</si>
  <si>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</si>
  <si>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</si>
  <si>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</si>
  <si>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</si>
  <si>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</si>
  <si>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</si>
  <si>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</si>
  <si>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</si>
  <si>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</si>
  <si>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</si>
  <si>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</si>
  <si>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</si>
  <si>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</si>
  <si>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</si>
  <si>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</si>
  <si>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</si>
  <si>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</si>
  <si>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</si>
  <si>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</si>
  <si>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</si>
  <si>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</si>
  <si>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</si>
  <si>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</si>
  <si>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</si>
  <si>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</si>
  <si>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</si>
  <si>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</si>
  <si>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</si>
  <si>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</si>
  <si>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</si>
  <si>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</si>
  <si>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</si>
  <si>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</si>
  <si>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</si>
  <si>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</si>
  <si>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</si>
  <si>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</si>
  <si>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</si>
  <si>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</si>
  <si>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</si>
  <si>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</si>
  <si>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</si>
  <si>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</si>
  <si>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</si>
  <si>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</si>
  <si>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</si>
  <si>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</si>
  <si>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</si>
  <si>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</si>
  <si>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</si>
  <si>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</si>
  <si>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</si>
  <si>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</si>
  <si>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</si>
  <si>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</si>
  <si>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</si>
  <si>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</si>
  <si>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</si>
  <si>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</si>
  <si>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</si>
  <si>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</si>
  <si>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</si>
  <si>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</si>
  <si>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</si>
  <si>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</si>
  <si>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</si>
  <si>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</si>
  <si>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</si>
  <si>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</si>
  <si>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</si>
  <si>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</si>
  <si>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</si>
  <si>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</si>
  <si>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</si>
  <si>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</si>
  <si>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</si>
  <si>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</si>
  <si>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</si>
  <si>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</si>
  <si>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</si>
  <si>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</si>
  <si>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</si>
  <si>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</si>
  <si>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</si>
  <si>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</si>
  <si>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</si>
  <si>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</si>
  <si>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</si>
  <si>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</si>
  <si>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</si>
  <si>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</si>
  <si>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</si>
  <si>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</si>
  <si>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</si>
  <si>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</si>
  <si>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</si>
  <si>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</si>
  <si>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</si>
  <si>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</si>
  <si>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</si>
  <si>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</si>
  <si>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</si>
  <si>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</si>
  <si>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</si>
  <si>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</si>
  <si>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</si>
  <si>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</si>
  <si>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</si>
  <si>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</si>
  <si>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</si>
  <si>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</si>
  <si>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</si>
  <si>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</si>
  <si>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</si>
  <si>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</si>
  <si>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</si>
  <si>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</si>
  <si>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</si>
  <si>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</si>
  <si>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</si>
  <si>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</si>
  <si>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</si>
  <si>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</si>
  <si>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</si>
  <si>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</si>
  <si>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</si>
  <si>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</si>
  <si>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</si>
  <si>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</si>
  <si>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</si>
  <si>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</si>
  <si>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</si>
  <si>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</si>
  <si>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</si>
  <si>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</si>
  <si>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</si>
  <si>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</si>
  <si>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</si>
  <si>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</si>
  <si>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</si>
  <si>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</si>
  <si>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</si>
  <si>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</si>
  <si>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</si>
  <si>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</si>
  <si>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</si>
  <si>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</si>
  <si>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</si>
  <si>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</si>
  <si>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</si>
  <si>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</si>
  <si>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</si>
  <si>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</si>
  <si>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</si>
  <si>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</si>
  <si>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</si>
  <si>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</si>
  <si>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</si>
  <si>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</si>
  <si>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</si>
  <si>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</si>
  <si>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</si>
  <si>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</si>
  <si>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</si>
  <si>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</si>
  <si>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</si>
  <si>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</si>
  <si>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</si>
  <si>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</si>
  <si>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</si>
  <si>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</si>
  <si>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</si>
  <si>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</si>
  <si>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</si>
  <si>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</si>
  <si>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</si>
  <si>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</si>
  <si>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</si>
  <si>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</si>
  <si>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</si>
  <si>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</si>
  <si>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</si>
  <si>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</si>
  <si>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</si>
  <si>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</si>
  <si>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</si>
  <si>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</si>
  <si>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</si>
  <si>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</si>
  <si>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</si>
  <si>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</si>
  <si>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</si>
  <si>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</si>
  <si>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</si>
  <si>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</si>
  <si>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</si>
  <si>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</si>
  <si>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</si>
  <si>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</si>
  <si>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</si>
  <si>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</si>
  <si>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</si>
  <si>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</si>
  <si>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</si>
  <si>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</si>
  <si>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</si>
  <si>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</si>
  <si>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</si>
  <si>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</si>
  <si>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</si>
  <si>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</si>
  <si>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</si>
  <si>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</si>
  <si>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</si>
  <si>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</si>
  <si>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</si>
  <si>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</si>
  <si>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</si>
  <si>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</si>
  <si>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</si>
  <si>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</si>
  <si>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</si>
  <si>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</si>
  <si>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</si>
  <si>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</si>
  <si>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</si>
  <si>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</si>
  <si>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</si>
  <si>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</si>
  <si>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</si>
  <si>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</si>
  <si>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</si>
  <si>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</si>
  <si>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</si>
  <si>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</si>
  <si>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</si>
  <si>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</si>
  <si>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</si>
  <si>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</si>
  <si>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</si>
  <si>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</si>
  <si>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</si>
  <si>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</si>
  <si>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</si>
  <si>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</si>
  <si>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</si>
  <si>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</si>
  <si>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</si>
  <si>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</si>
  <si>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</si>
  <si>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</si>
  <si>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</si>
  <si>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</si>
  <si>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</si>
  <si>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</si>
  <si>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</si>
  <si>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</si>
  <si>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</si>
  <si>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</si>
  <si>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</si>
  <si>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</si>
  <si>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</si>
  <si>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</si>
  <si>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</si>
  <si>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</si>
  <si>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</si>
  <si>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</si>
  <si>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</si>
  <si>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</si>
  <si>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</si>
  <si>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</si>
  <si>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</si>
  <si>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</si>
  <si>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</si>
  <si>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</si>
  <si>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</si>
  <si>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</si>
  <si>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</si>
  <si>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</si>
  <si>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</si>
  <si>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</si>
  <si>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</si>
  <si>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</si>
  <si>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</si>
  <si>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</si>
  <si>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</si>
  <si>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</si>
  <si>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</si>
  <si>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</si>
  <si>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</si>
  <si>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</si>
  <si>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</si>
  <si>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</si>
  <si>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</si>
  <si>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</si>
  <si>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</si>
  <si>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</si>
  <si>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</si>
  <si>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</si>
  <si>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</si>
  <si>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</si>
  <si>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</si>
  <si>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</si>
  <si>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</si>
  <si>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</si>
  <si>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</si>
  <si>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</si>
  <si>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</si>
  <si>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</si>
  <si>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</si>
  <si>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</si>
  <si>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</si>
  <si>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</si>
  <si>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</si>
  <si>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</si>
  <si>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</si>
  <si>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</si>
  <si>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</si>
  <si>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</si>
  <si>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</si>
  <si>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</si>
  <si>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</si>
  <si>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</si>
  <si>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</si>
  <si>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</si>
  <si>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</si>
  <si>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</si>
  <si>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</si>
  <si>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</si>
  <si>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</si>
  <si>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</si>
  <si>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</si>
  <si>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</si>
  <si>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</si>
  <si>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</si>
  <si>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</si>
  <si>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</si>
  <si>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</si>
  <si>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</si>
  <si>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</si>
  <si>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</si>
  <si>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</si>
  <si>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</si>
  <si>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</si>
  <si>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</si>
  <si>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</si>
  <si>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</si>
  <si>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</si>
  <si>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</si>
  <si>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</si>
  <si>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</si>
  <si>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</si>
  <si>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</si>
  <si>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</si>
  <si>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</si>
  <si>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</si>
  <si>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</si>
  <si>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</si>
  <si>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</si>
  <si>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</si>
  <si>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</si>
  <si>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</si>
  <si>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</si>
  <si>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</si>
  <si>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</si>
  <si>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</si>
  <si>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</si>
  <si>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</si>
  <si>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</si>
  <si>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</si>
  <si>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</si>
  <si>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</si>
  <si>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</si>
  <si>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</si>
  <si>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</si>
  <si>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</si>
  <si>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</si>
  <si>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</si>
  <si>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</si>
  <si>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</si>
  <si>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</si>
  <si>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</si>
  <si>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</si>
  <si>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</si>
  <si>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</si>
  <si>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</si>
  <si>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</si>
  <si>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</si>
  <si>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</si>
  <si>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</si>
  <si>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</si>
  <si>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</si>
  <si>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</si>
  <si>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</si>
  <si>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</si>
  <si>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</si>
  <si>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</si>
  <si>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</si>
  <si>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</si>
  <si>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</si>
  <si>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</si>
  <si>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</si>
  <si>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</si>
  <si>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</si>
  <si>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</si>
  <si>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</si>
  <si>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</si>
  <si>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</si>
  <si>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</si>
  <si>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</si>
  <si>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</si>
  <si>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</si>
  <si>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</si>
  <si>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</si>
  <si>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</si>
  <si>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</si>
  <si>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</si>
  <si>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</si>
  <si>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</si>
  <si>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</si>
  <si>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</si>
  <si>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</si>
  <si>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</si>
  <si>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</si>
  <si>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</si>
  <si>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</si>
  <si>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</si>
  <si>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</si>
  <si>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</si>
  <si>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</si>
  <si>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</si>
  <si>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</si>
  <si>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</si>
  <si>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</si>
  <si>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</si>
  <si>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</si>
  <si>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</si>
  <si>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</si>
  <si>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</si>
  <si>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</si>
  <si>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</si>
  <si>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</si>
  <si>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</si>
  <si>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</si>
  <si>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</si>
  <si>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</si>
  <si>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</si>
  <si>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</si>
  <si>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</si>
  <si>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</si>
  <si>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</si>
  <si>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</si>
  <si>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</si>
  <si>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</si>
  <si>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</si>
  <si>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</si>
  <si>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</si>
  <si>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</si>
  <si>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</si>
  <si>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</si>
  <si>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</si>
  <si>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</si>
  <si>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</si>
  <si>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</si>
  <si>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</si>
  <si>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</si>
  <si>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</si>
  <si>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</si>
  <si>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</si>
  <si>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</si>
  <si>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</si>
  <si>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</si>
  <si>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</si>
  <si>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</si>
  <si>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</si>
  <si>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</si>
  <si>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</si>
  <si>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</si>
  <si>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</si>
  <si>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</si>
  <si>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</si>
  <si>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</si>
  <si>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</si>
  <si>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</si>
  <si>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</si>
  <si>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</si>
  <si>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</si>
  <si>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</si>
  <si>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</si>
  <si>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</si>
  <si>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</si>
  <si>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</si>
  <si>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</si>
  <si>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</si>
  <si>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</si>
  <si>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</si>
  <si>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</si>
  <si>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</si>
  <si>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</si>
  <si>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</si>
  <si>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</si>
  <si>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</si>
  <si>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</si>
  <si>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</si>
  <si>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</si>
  <si>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</si>
  <si>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</si>
  <si>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</si>
  <si>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</si>
  <si>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</si>
  <si>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</si>
  <si>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</si>
  <si>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</si>
  <si>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</si>
  <si>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</si>
  <si>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</si>
  <si>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</si>
  <si>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</si>
  <si>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</si>
  <si>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</si>
  <si>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</si>
  <si>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</si>
  <si>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</si>
  <si>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</si>
  <si>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</si>
  <si>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</si>
  <si>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</si>
  <si>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</si>
  <si>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</si>
  <si>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</si>
  <si>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</si>
  <si>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</si>
  <si>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</si>
  <si>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</si>
  <si>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</si>
  <si>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</si>
  <si>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</si>
  <si>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</si>
  <si>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</si>
  <si>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</si>
  <si>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</si>
  <si>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</si>
  <si>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</si>
  <si>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</si>
  <si>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</si>
  <si>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</si>
  <si>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</si>
  <si>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</si>
  <si>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</si>
  <si>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</si>
  <si>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</si>
  <si>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</si>
  <si>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</si>
  <si>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</si>
  <si>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</si>
  <si>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</si>
  <si>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</si>
  <si>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</si>
  <si>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</si>
  <si>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</si>
  <si>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</si>
  <si>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</si>
  <si>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</si>
  <si>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</si>
  <si>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</si>
  <si>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</si>
  <si>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</si>
  <si>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</si>
  <si>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</si>
  <si>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</si>
  <si>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</si>
  <si>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</si>
  <si>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</si>
  <si>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</si>
  <si>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</si>
  <si>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</si>
  <si>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</si>
  <si>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</si>
  <si>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</si>
  <si>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</si>
  <si>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</si>
  <si>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</si>
  <si>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</si>
  <si>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</si>
  <si>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</si>
  <si>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</si>
  <si>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</si>
  <si>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</si>
  <si>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</si>
  <si>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</si>
  <si>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</si>
  <si>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</si>
  <si>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</si>
  <si>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</si>
  <si>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</si>
  <si>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</si>
  <si>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</si>
  <si>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</si>
  <si>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</si>
  <si>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</si>
  <si>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</si>
  <si>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</si>
  <si>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</si>
  <si>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</si>
  <si>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</si>
  <si>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</si>
  <si>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</si>
  <si>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</si>
  <si>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</si>
  <si>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</si>
  <si>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</si>
  <si>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</si>
  <si>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</si>
  <si>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</si>
  <si>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</si>
  <si>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</si>
  <si>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</si>
  <si>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</si>
  <si>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</si>
  <si>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</si>
  <si>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</si>
  <si>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</si>
  <si>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</si>
  <si>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</si>
  <si>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</si>
  <si>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</si>
  <si>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</si>
  <si>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</si>
  <si>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</si>
  <si>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</si>
  <si>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</si>
  <si>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</si>
  <si>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</si>
  <si>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</si>
  <si>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</si>
  <si>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</si>
  <si>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</si>
  <si>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</si>
  <si>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</si>
  <si>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</si>
  <si>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</si>
  <si>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</si>
  <si>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</si>
  <si>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</si>
  <si>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</si>
  <si>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</si>
  <si>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</si>
  <si>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</si>
  <si>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</si>
  <si>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</si>
  <si>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</si>
  <si>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</si>
  <si>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</si>
  <si>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</si>
  <si>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</si>
  <si>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</si>
  <si>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</si>
  <si>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</si>
  <si>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</si>
  <si>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</si>
  <si>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</si>
  <si>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</si>
  <si>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</si>
  <si>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</si>
  <si>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</si>
  <si>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</si>
  <si>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</si>
  <si>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</si>
  <si>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</si>
  <si>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</si>
  <si>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</si>
  <si>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</si>
  <si>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</si>
  <si>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</si>
  <si>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</si>
  <si>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</si>
  <si>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</si>
  <si>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</si>
  <si>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</si>
  <si>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</si>
  <si>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</si>
  <si>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</si>
  <si>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</si>
  <si>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</si>
  <si>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</si>
  <si>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</si>
  <si>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</si>
  <si>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</si>
  <si>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</si>
  <si>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</si>
  <si>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</si>
  <si>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</si>
  <si>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</si>
  <si>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</si>
  <si>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</si>
  <si>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</si>
  <si>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</si>
  <si>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</si>
  <si>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</si>
  <si>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</si>
  <si>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</si>
  <si>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</si>
  <si>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</si>
  <si>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</si>
  <si>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</si>
  <si>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</si>
  <si>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</si>
  <si>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</si>
  <si>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</si>
  <si>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</si>
  <si>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</si>
  <si>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</si>
  <si>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</si>
  <si>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</si>
  <si>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</si>
  <si>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</si>
  <si>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</si>
  <si>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</si>
  <si>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</si>
  <si>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</si>
  <si>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</si>
  <si>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</si>
  <si>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</si>
  <si>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</si>
  <si>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</si>
  <si>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</si>
  <si>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</si>
  <si>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</si>
  <si>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</si>
  <si>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</si>
  <si>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</si>
  <si>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</si>
  <si>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</si>
  <si>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</si>
  <si>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</si>
  <si>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</si>
  <si>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</si>
  <si>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</si>
  <si>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</si>
  <si>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</si>
  <si>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</si>
  <si>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</si>
  <si>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</si>
  <si>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</si>
  <si>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</si>
  <si>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</si>
  <si>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</si>
  <si>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</si>
  <si>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</si>
  <si>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</si>
  <si>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</si>
  <si>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</si>
  <si>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</si>
  <si>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</si>
  <si>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</si>
  <si>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</si>
  <si>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</si>
  <si>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</si>
  <si>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</si>
  <si>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</si>
  <si>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</si>
  <si>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</si>
  <si>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</si>
  <si>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</si>
  <si>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</si>
  <si>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</si>
  <si>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</si>
  <si>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</si>
  <si>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</si>
  <si>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</si>
  <si>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</si>
  <si>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</si>
  <si>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</si>
  <si>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</si>
  <si>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</si>
  <si>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</si>
  <si>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</si>
  <si>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</si>
  <si>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</si>
  <si>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</si>
  <si>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</si>
  <si>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</si>
  <si>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</si>
  <si>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</si>
  <si>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</si>
  <si>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</si>
  <si>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</si>
  <si>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</si>
  <si>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</si>
  <si>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</si>
  <si>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</si>
  <si>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</si>
  <si>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</si>
  <si>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</si>
  <si>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</si>
  <si>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</si>
  <si>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</si>
  <si>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</si>
  <si>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</si>
  <si>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</si>
  <si>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</si>
  <si>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</si>
  <si>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</si>
  <si>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</si>
  <si>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</si>
  <si>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</si>
  <si>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</si>
  <si>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</si>
  <si>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</si>
  <si>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</si>
  <si>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</si>
  <si>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</si>
  <si>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</si>
  <si>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</si>
  <si>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</si>
  <si>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</si>
  <si>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</si>
  <si>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</si>
  <si>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</si>
  <si>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</si>
  <si>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</si>
  <si>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</si>
  <si>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</si>
  <si>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</si>
  <si>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</si>
  <si>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</si>
  <si>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</si>
  <si>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</si>
  <si>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</si>
  <si>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</si>
  <si>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</si>
  <si>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</si>
  <si>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</si>
  <si>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</si>
  <si>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</si>
  <si>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</si>
  <si>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</si>
  <si>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</si>
  <si>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</si>
  <si>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</si>
  <si>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</si>
  <si>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</si>
  <si>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</si>
  <si>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</si>
  <si>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</si>
  <si>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</si>
  <si>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</si>
  <si>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</si>
  <si>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</si>
  <si>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</si>
  <si>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</si>
  <si>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</si>
  <si>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</si>
  <si>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</si>
  <si>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</si>
  <si>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</si>
  <si>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</si>
  <si>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</si>
  <si>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</si>
  <si>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</si>
  <si>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</si>
  <si>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</si>
  <si>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</si>
  <si>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</si>
  <si>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</si>
  <si>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</si>
  <si>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</si>
  <si>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</si>
  <si>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</si>
  <si>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</si>
  <si>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</si>
  <si>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</si>
  <si>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</si>
  <si>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</si>
  <si>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</si>
  <si>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</si>
  <si>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</si>
  <si>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</si>
  <si>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</si>
  <si>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</si>
  <si>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</si>
  <si>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</si>
  <si>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</si>
  <si>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</si>
  <si>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</si>
  <si>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</si>
  <si>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</si>
  <si>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</si>
  <si>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</si>
  <si>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</si>
  <si>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</si>
  <si>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</si>
  <si>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</si>
  <si>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</si>
  <si>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</si>
  <si>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</si>
  <si>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</si>
  <si>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</si>
  <si>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</si>
  <si>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</si>
  <si>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</si>
  <si>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</si>
  <si>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</si>
  <si>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</si>
  <si>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</si>
  <si>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</si>
  <si>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</si>
  <si>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</si>
  <si>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</si>
  <si>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</si>
  <si>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</si>
  <si>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</si>
  <si>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</si>
  <si>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</si>
  <si>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</si>
  <si>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</si>
  <si>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</si>
  <si>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</si>
  <si>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</si>
  <si>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</si>
  <si>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</si>
  <si>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</si>
  <si>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</si>
  <si>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</si>
  <si>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</si>
  <si>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</si>
  <si>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</si>
  <si>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</si>
  <si>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</si>
  <si>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</si>
  <si>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</si>
  <si>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</si>
  <si>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</si>
  <si>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</si>
  <si>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</si>
  <si>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</si>
  <si>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</si>
  <si>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</si>
  <si>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</si>
  <si>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</si>
  <si>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</si>
  <si>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</si>
  <si>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</si>
  <si>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</si>
  <si>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</si>
  <si>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</si>
  <si>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</si>
  <si>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</si>
  <si>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</si>
  <si>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</si>
  <si>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</si>
  <si>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</si>
  <si>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</si>
  <si>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</si>
  <si>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</si>
  <si>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</si>
  <si>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</si>
  <si>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</si>
  <si>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</si>
  <si>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</si>
  <si>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</si>
  <si>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</si>
  <si>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</si>
  <si>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</si>
  <si>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</si>
  <si>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</si>
  <si>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</si>
  <si>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</si>
  <si>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</si>
  <si>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</si>
  <si>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</si>
  <si>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</si>
  <si>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</si>
  <si>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</si>
  <si>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</si>
  <si>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</si>
  <si>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</si>
  <si>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</si>
  <si>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</si>
  <si>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</si>
  <si>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</si>
  <si>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</si>
  <si>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</si>
  <si>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</si>
  <si>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</si>
  <si>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</si>
  <si>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</si>
  <si>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</si>
  <si>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</si>
  <si>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</si>
  <si>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</si>
  <si>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</si>
  <si>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</si>
  <si>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</si>
  <si>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</si>
  <si>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</si>
  <si>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</si>
  <si>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</si>
  <si>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</si>
  <si>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</si>
  <si>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</si>
  <si>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</si>
  <si>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</si>
  <si>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</si>
  <si>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</si>
  <si>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</si>
  <si>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</si>
  <si>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</si>
  <si>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</si>
  <si>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</si>
  <si>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</si>
  <si>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</si>
  <si>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</si>
  <si>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</si>
  <si>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</si>
  <si>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</si>
  <si>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</si>
  <si>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</si>
  <si>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</si>
  <si>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</si>
  <si>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</si>
  <si>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</si>
  <si>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</si>
  <si>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</si>
  <si>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</si>
  <si>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</si>
  <si>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</si>
  <si>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</si>
  <si>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</si>
  <si>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</si>
  <si>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</si>
  <si>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</si>
  <si>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</si>
  <si>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</si>
  <si>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</si>
  <si>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</si>
  <si>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</si>
  <si>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</si>
  <si>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</si>
  <si>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</si>
  <si>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</si>
  <si>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</si>
  <si>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</si>
  <si>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</si>
  <si>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</si>
  <si>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</si>
  <si>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</si>
  <si>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</si>
  <si>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</si>
  <si>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</si>
  <si>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</si>
  <si>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</si>
  <si>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</si>
  <si>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</si>
  <si>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</si>
  <si>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</si>
  <si>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</si>
  <si>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</si>
  <si>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</si>
  <si>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</si>
  <si>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</si>
  <si>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</si>
  <si>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</si>
  <si>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</si>
  <si>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</si>
  <si>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</si>
  <si>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</si>
  <si>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</si>
  <si>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</si>
  <si>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</si>
  <si>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</si>
  <si>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</si>
  <si>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</si>
  <si>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</si>
  <si>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</si>
  <si>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</si>
  <si>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</si>
  <si>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</si>
  <si>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</si>
  <si>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</si>
  <si>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</si>
  <si>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</si>
  <si>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</si>
  <si>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</si>
  <si>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</si>
  <si>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</si>
  <si>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</si>
  <si>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</si>
  <si>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</si>
  <si>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</si>
  <si>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</si>
  <si>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</si>
  <si>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</si>
  <si>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</si>
  <si>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</si>
  <si>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</si>
  <si>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</si>
  <si>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</si>
  <si>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</si>
  <si>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</si>
  <si>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</si>
  <si>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</si>
  <si>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</si>
  <si>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</si>
  <si>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</si>
  <si>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</si>
  <si>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</si>
  <si>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</si>
  <si>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</si>
  <si>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</si>
  <si>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</si>
  <si>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</si>
  <si>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</si>
  <si>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</si>
  <si>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</si>
  <si>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</si>
  <si>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</si>
  <si>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</si>
  <si>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</si>
  <si>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</si>
  <si>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</si>
  <si>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</si>
  <si>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</si>
  <si>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</si>
  <si>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</si>
  <si>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</si>
  <si>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</si>
  <si>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</si>
  <si>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</si>
  <si>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</si>
  <si>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</si>
  <si>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</si>
  <si>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</si>
  <si>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</si>
  <si>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</si>
  <si>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</si>
  <si>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</si>
  <si>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</si>
  <si>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</si>
  <si>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</si>
  <si>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</si>
  <si>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</si>
  <si>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</si>
  <si>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</si>
  <si>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</si>
  <si>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</si>
  <si>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</si>
  <si>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</si>
  <si>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</si>
  <si>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</si>
  <si>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</si>
  <si>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</si>
  <si>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</si>
  <si>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</si>
  <si>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</si>
  <si>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</si>
  <si>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</si>
  <si>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</si>
  <si>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</si>
  <si>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</si>
  <si>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</si>
  <si>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</si>
  <si>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</si>
  <si>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</si>
  <si>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</si>
  <si>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</si>
  <si>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</si>
  <si>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</si>
  <si>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</si>
  <si>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</si>
  <si>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</si>
  <si>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</si>
  <si>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</si>
  <si>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</si>
  <si>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</si>
  <si>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</si>
  <si>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</si>
  <si>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</si>
  <si>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</si>
  <si>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</si>
  <si>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</si>
  <si>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</si>
  <si>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</si>
  <si>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</si>
  <si>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</si>
  <si>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</si>
  <si>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</si>
  <si>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</si>
  <si>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</si>
  <si>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</si>
  <si>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</si>
  <si>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</si>
  <si>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</si>
  <si>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</si>
  <si>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</si>
  <si>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</si>
  <si>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</si>
  <si>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</si>
  <si>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</si>
  <si>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</si>
  <si>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</si>
  <si>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</si>
  <si>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</si>
  <si>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</si>
  <si>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</si>
  <si>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</si>
  <si>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</si>
  <si>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</si>
  <si>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</si>
  <si>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</si>
  <si>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</si>
  <si>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</si>
  <si>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</si>
  <si>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</si>
  <si>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</si>
  <si>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</si>
  <si>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</si>
  <si>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</si>
  <si>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</si>
  <si>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</si>
  <si>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</si>
  <si>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</si>
  <si>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</si>
  <si>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</si>
  <si>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</si>
  <si>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</si>
  <si>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</si>
  <si>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</si>
  <si>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</si>
  <si>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</si>
  <si>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</si>
  <si>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</si>
  <si>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</si>
  <si>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</si>
  <si>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</si>
  <si>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</si>
  <si>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</si>
  <si>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</si>
  <si>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</si>
  <si>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</si>
  <si>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</si>
  <si>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</si>
  <si>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</si>
  <si>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</si>
  <si>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</si>
  <si>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</si>
  <si>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</si>
  <si>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</si>
  <si>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</si>
  <si>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</si>
  <si>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</si>
  <si>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</si>
  <si>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</si>
  <si>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</si>
  <si>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</si>
  <si>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</si>
  <si>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</si>
  <si>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</si>
  <si>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</si>
  <si>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</si>
  <si>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</si>
  <si>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</si>
  <si>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</si>
  <si>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</si>
  <si>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</si>
  <si>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</si>
  <si>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</si>
  <si>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</si>
  <si>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</si>
  <si>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</si>
  <si>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</si>
  <si>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</si>
  <si>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</si>
  <si>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</si>
  <si>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</si>
  <si>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</si>
  <si>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</si>
  <si>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</si>
  <si>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</si>
  <si>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</si>
  <si>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</si>
  <si>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</si>
  <si>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</si>
  <si>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</si>
  <si>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</si>
  <si>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</si>
  <si>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</si>
  <si>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</si>
  <si>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</si>
  <si>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</si>
  <si>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</si>
  <si>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</si>
  <si>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</si>
  <si>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</si>
  <si>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</si>
  <si>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</si>
  <si>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</si>
  <si>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</si>
  <si>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</si>
  <si>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</si>
  <si>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</si>
  <si>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</si>
  <si>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</si>
  <si>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</si>
  <si>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</si>
  <si>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</si>
  <si>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</si>
  <si>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</si>
  <si>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</si>
  <si>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</si>
  <si>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</si>
  <si>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</si>
  <si>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</si>
  <si>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</si>
  <si>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</si>
  <si>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</si>
  <si>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</si>
  <si>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</si>
  <si>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</si>
  <si>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</si>
  <si>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</si>
  <si>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</si>
  <si>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</si>
  <si>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</si>
  <si>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</si>
  <si>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</si>
  <si>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</si>
  <si>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</si>
  <si>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</si>
  <si>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</si>
  <si>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</si>
  <si>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</si>
  <si>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</si>
  <si>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</si>
  <si>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</si>
  <si>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</si>
  <si>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</si>
  <si>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</si>
  <si>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</si>
  <si>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</si>
  <si>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</si>
  <si>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</si>
  <si>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</si>
  <si>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</si>
  <si>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</si>
  <si>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</si>
  <si>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</si>
  <si>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</si>
  <si>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</si>
  <si>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</si>
  <si>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</si>
  <si>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</si>
  <si>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</si>
  <si>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</si>
  <si>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</si>
  <si>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</si>
  <si>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</si>
  <si>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</si>
  <si>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</si>
  <si>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</si>
  <si>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</si>
  <si>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</si>
  <si>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</si>
  <si>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</si>
  <si>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</si>
  <si>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</si>
  <si>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</si>
  <si>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</si>
  <si>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</si>
  <si>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</si>
  <si>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</si>
  <si>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</si>
  <si>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</si>
  <si>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</si>
  <si>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</si>
  <si>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</si>
  <si>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</si>
  <si>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</si>
  <si>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</si>
  <si>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</si>
  <si>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</si>
  <si>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</si>
  <si>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</si>
  <si>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</si>
  <si>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</si>
  <si>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</si>
  <si>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</si>
  <si>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</si>
  <si>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</si>
  <si>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</si>
  <si>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</si>
  <si>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</si>
  <si>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</si>
  <si>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</si>
  <si>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</si>
  <si>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</si>
  <si>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</si>
  <si>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</si>
  <si>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</si>
  <si>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</si>
  <si>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</si>
  <si>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</si>
  <si>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</si>
  <si>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</si>
  <si>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</si>
  <si>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</si>
  <si>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</si>
  <si>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</si>
  <si>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</si>
  <si>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</si>
  <si>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</si>
  <si>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</si>
  <si>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</si>
  <si>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</si>
  <si>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</si>
  <si>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</si>
  <si>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</si>
  <si>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</si>
  <si>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</si>
  <si>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</si>
  <si>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</si>
  <si>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</si>
  <si>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</si>
  <si>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</si>
  <si>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</si>
  <si>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</si>
  <si>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</si>
  <si>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</si>
  <si>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</si>
  <si>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</si>
  <si>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</si>
  <si>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</si>
  <si>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</si>
  <si>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</si>
  <si>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</si>
  <si>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</si>
  <si>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</si>
  <si>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</si>
  <si>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</si>
  <si>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</si>
  <si>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</si>
  <si>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</si>
  <si>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</si>
  <si>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</si>
  <si>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</si>
  <si>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</si>
  <si>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</si>
  <si>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</si>
  <si>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</si>
  <si>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</si>
  <si>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</si>
  <si>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</si>
  <si>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</si>
  <si>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</si>
  <si>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</si>
  <si>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</si>
  <si>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</si>
  <si>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</si>
  <si>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</si>
  <si>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</si>
  <si>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</si>
  <si>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</si>
  <si>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</si>
  <si>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</si>
  <si>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</si>
  <si>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</si>
  <si>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</si>
  <si>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</si>
  <si>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</si>
  <si>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</si>
  <si>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</si>
  <si>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</si>
  <si>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</si>
  <si>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</si>
  <si>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</si>
  <si>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</si>
  <si>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</si>
  <si>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</si>
  <si>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</si>
  <si>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</si>
  <si>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</si>
  <si>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</si>
  <si>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</si>
  <si>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</si>
  <si>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</si>
  <si>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</si>
  <si>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</si>
  <si>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</si>
  <si>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</si>
  <si>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</si>
  <si>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</si>
  <si>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</si>
  <si>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</si>
  <si>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</si>
  <si>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</si>
  <si>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</si>
  <si>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</si>
  <si>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</si>
  <si>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</si>
  <si>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</si>
  <si>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</si>
  <si>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</si>
  <si>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</si>
  <si>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</si>
  <si>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</si>
  <si>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</si>
  <si>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</si>
  <si>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</si>
  <si>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</si>
  <si>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</si>
  <si>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</si>
  <si>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</si>
  <si>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</si>
  <si>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</si>
  <si>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</si>
  <si>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</si>
  <si>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</si>
  <si>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</si>
  <si>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</si>
  <si>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</si>
  <si>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</si>
  <si>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</si>
  <si>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</si>
  <si>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</si>
  <si>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</si>
  <si>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</si>
  <si>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</si>
  <si>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</si>
  <si>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</si>
  <si>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</si>
  <si>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</si>
  <si>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</si>
  <si>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</si>
  <si>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</si>
  <si>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</si>
  <si>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</si>
  <si>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</si>
  <si>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</si>
  <si>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</si>
  <si>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</si>
  <si>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</si>
  <si>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</si>
  <si>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</si>
  <si>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</si>
  <si>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</si>
  <si>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</si>
  <si>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</si>
  <si>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</si>
  <si>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</si>
  <si>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</si>
  <si>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</si>
  <si>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</si>
  <si>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</si>
  <si>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</si>
  <si>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</si>
  <si>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</si>
  <si>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</si>
  <si>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</si>
  <si>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</si>
  <si>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</si>
  <si>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</si>
  <si>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</si>
  <si>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</si>
  <si>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</si>
  <si>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</si>
  <si>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</si>
  <si>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</si>
  <si>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</si>
  <si>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</si>
  <si>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</si>
  <si>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</si>
  <si>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</si>
  <si>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</si>
  <si>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</si>
  <si>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</si>
  <si>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</si>
  <si>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</si>
  <si>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</si>
  <si>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</si>
  <si>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</si>
  <si>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</si>
  <si>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</si>
  <si>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</si>
  <si>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</si>
  <si>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</si>
  <si>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</si>
  <si>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</si>
  <si>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</si>
  <si>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</si>
  <si>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</si>
  <si>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</si>
  <si>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</si>
  <si>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</si>
  <si>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</si>
  <si>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</si>
  <si>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</si>
  <si>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</si>
  <si>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</si>
  <si>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</si>
  <si>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</si>
  <si>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</si>
  <si>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</si>
  <si>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</si>
  <si>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</si>
  <si>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</si>
  <si>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</si>
  <si>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</si>
  <si>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</si>
  <si>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</si>
  <si>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</si>
  <si>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</si>
  <si>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</si>
  <si>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</si>
  <si>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</si>
  <si>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</si>
  <si>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</si>
  <si>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</si>
  <si>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</si>
  <si>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</si>
  <si>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</si>
  <si>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</si>
  <si>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</si>
  <si>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</si>
  <si>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</si>
  <si>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</si>
  <si>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</si>
  <si>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</si>
  <si>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</si>
  <si>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</si>
  <si>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</si>
  <si>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</si>
  <si>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</si>
  <si>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</si>
  <si>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</si>
  <si>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</si>
  <si>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</si>
  <si>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</si>
  <si>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</si>
  <si>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</si>
  <si>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</si>
  <si>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</si>
  <si>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</si>
  <si>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</si>
  <si>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</si>
  <si>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</si>
  <si>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</si>
  <si>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</si>
  <si>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</si>
  <si>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</si>
  <si>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</si>
  <si>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</si>
  <si>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</si>
  <si>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</si>
  <si>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</si>
  <si>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</si>
  <si>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</si>
  <si>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</si>
  <si>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</si>
  <si>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</si>
  <si>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</si>
  <si>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</si>
  <si>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</si>
  <si>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</si>
  <si>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</si>
  <si>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</si>
  <si>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</si>
  <si>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</si>
  <si>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</si>
  <si>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</si>
  <si>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</si>
  <si>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</si>
  <si>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</si>
  <si>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</si>
  <si>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</si>
  <si>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</si>
  <si>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</si>
  <si>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</si>
  <si>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</si>
  <si>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</si>
  <si>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</si>
  <si>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</si>
  <si>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</si>
  <si>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</si>
  <si>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</si>
  <si>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</si>
  <si>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</si>
  <si>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</si>
  <si>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</si>
  <si>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</si>
  <si>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</si>
  <si>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</si>
  <si>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</si>
  <si>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</si>
  <si>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</si>
  <si>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</si>
  <si>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</si>
  <si>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</si>
  <si>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</si>
  <si>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</si>
  <si>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</si>
  <si>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</si>
  <si>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</si>
  <si>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</si>
  <si>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</si>
  <si>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</si>
  <si>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</si>
  <si>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</si>
  <si>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</si>
  <si>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</si>
  <si>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</si>
  <si>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</si>
  <si>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</si>
  <si>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</si>
  <si>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</si>
  <si>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</si>
  <si>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</si>
  <si>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</si>
  <si>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</si>
  <si>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</si>
  <si>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</si>
  <si>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</si>
  <si>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</si>
  <si>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</si>
  <si>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</si>
  <si>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</si>
  <si>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</si>
  <si>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</si>
  <si>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</si>
  <si>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</si>
  <si>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</si>
  <si>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</si>
  <si>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</si>
  <si>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</si>
  <si>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</si>
  <si>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</si>
  <si>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</si>
  <si>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</si>
  <si>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</si>
  <si>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</si>
  <si>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</si>
  <si>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</si>
  <si>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</si>
  <si>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</si>
  <si>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</si>
  <si>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</si>
  <si>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</si>
  <si>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</si>
  <si>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</si>
  <si>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</si>
  <si>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</si>
  <si>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</si>
  <si>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</si>
  <si>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</si>
  <si>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</si>
  <si>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</si>
  <si>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</si>
  <si>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</si>
  <si>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</si>
  <si>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</si>
  <si>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</si>
  <si>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</si>
  <si>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</si>
  <si>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</si>
  <si>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</si>
  <si>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</si>
  <si>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</si>
  <si>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</si>
  <si>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</si>
  <si>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</si>
  <si>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</si>
  <si>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</si>
  <si>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</si>
  <si>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</si>
  <si>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</si>
  <si>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</si>
  <si>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</si>
  <si>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</si>
  <si>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</si>
  <si>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</si>
  <si>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</si>
  <si>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</si>
  <si>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</si>
  <si>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</si>
  <si>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</si>
  <si>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</si>
  <si>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</si>
  <si>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</si>
  <si>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</si>
  <si>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</si>
  <si>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</si>
  <si>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</si>
  <si>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</si>
  <si>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</si>
  <si>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</si>
  <si>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</si>
  <si>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</si>
  <si>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</si>
  <si>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</si>
  <si>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</si>
  <si>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</si>
  <si>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</si>
  <si>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</si>
  <si>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</si>
  <si>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</si>
  <si>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</si>
  <si>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</si>
  <si>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</si>
  <si>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</si>
  <si>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</si>
  <si>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</si>
  <si>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</si>
  <si>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</si>
  <si>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</si>
  <si>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</si>
  <si>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</si>
  <si>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</si>
  <si>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</si>
  <si>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</si>
  <si>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</si>
  <si>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</si>
  <si>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</si>
  <si>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</si>
  <si>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</si>
  <si>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</si>
  <si>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</si>
  <si>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</si>
  <si>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</si>
  <si>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</si>
  <si>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</si>
  <si>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</si>
  <si>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</si>
  <si>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</si>
  <si>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</si>
  <si>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</si>
  <si>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</si>
  <si>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</si>
  <si>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</si>
  <si>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</si>
  <si>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</si>
  <si>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</si>
  <si>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</si>
  <si>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</si>
  <si>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</si>
  <si>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</si>
  <si>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</si>
  <si>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</si>
  <si>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</si>
  <si>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</si>
  <si>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</si>
  <si>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</si>
  <si>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</si>
  <si>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</si>
  <si>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</si>
  <si>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</si>
  <si>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</si>
  <si>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</si>
  <si>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</si>
  <si>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</si>
  <si>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</si>
  <si>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</si>
  <si>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</si>
  <si>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</si>
  <si>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</si>
  <si>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</si>
  <si>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</si>
  <si>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</si>
  <si>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</si>
  <si>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</si>
  <si>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</si>
  <si>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</si>
  <si>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</si>
  <si>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</si>
  <si>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</si>
  <si>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</si>
  <si>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</si>
  <si>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</si>
  <si>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</si>
  <si>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</si>
  <si>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</si>
  <si>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</si>
  <si>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</si>
  <si>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</si>
  <si>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</si>
  <si>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</si>
  <si>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</si>
  <si>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</si>
  <si>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</si>
  <si>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</si>
  <si>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</si>
  <si>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</si>
  <si>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</si>
  <si>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</si>
  <si>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</si>
  <si>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</si>
  <si>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</si>
  <si>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</si>
  <si>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</si>
  <si>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</si>
  <si>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</si>
  <si>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</si>
  <si>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</si>
  <si>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</si>
  <si>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</si>
  <si>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</si>
  <si>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</si>
  <si>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</si>
  <si>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</si>
  <si>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</si>
  <si>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</si>
  <si>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</si>
  <si>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</si>
  <si>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</si>
  <si>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</si>
  <si>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</si>
  <si>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</si>
  <si>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</si>
  <si>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</si>
  <si>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</si>
  <si>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</si>
  <si>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</si>
  <si>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</si>
  <si>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</si>
  <si>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</si>
  <si>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</si>
  <si>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</si>
  <si>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</si>
  <si>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</si>
  <si>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</si>
  <si>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</si>
  <si>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</si>
  <si>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</si>
  <si>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</si>
  <si>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</si>
  <si>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</si>
  <si>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</si>
  <si>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</si>
  <si>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</si>
  <si>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</si>
  <si>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</si>
  <si>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</si>
  <si>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</si>
  <si>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</si>
  <si>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</si>
  <si>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</si>
  <si>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</si>
  <si>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</si>
  <si>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</si>
  <si>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</si>
  <si>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</si>
  <si>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</si>
  <si>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</si>
  <si>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</si>
  <si>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</si>
  <si>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</si>
  <si>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</si>
  <si>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</si>
  <si>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</si>
  <si>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</si>
  <si>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</si>
  <si>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</si>
  <si>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</si>
  <si>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</si>
  <si>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</si>
  <si>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</si>
  <si>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</si>
  <si>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</si>
  <si>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</si>
  <si>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</si>
  <si>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</si>
  <si>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</si>
  <si>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</si>
  <si>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</si>
  <si>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</si>
  <si>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</si>
  <si>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</si>
  <si>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</si>
  <si>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</si>
  <si>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</si>
  <si>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</si>
  <si>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</si>
  <si>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</si>
  <si>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</si>
  <si>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</si>
  <si>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</si>
  <si>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</si>
  <si>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</si>
  <si>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</si>
  <si>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</si>
  <si>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</si>
  <si>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</si>
  <si>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</si>
  <si>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</si>
  <si>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</si>
  <si>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</si>
  <si>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</si>
  <si>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</si>
  <si>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</si>
  <si>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</si>
  <si>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</si>
  <si>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</si>
  <si>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</si>
  <si>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</si>
  <si>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</si>
  <si>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</si>
  <si>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</si>
  <si>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</si>
  <si>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</si>
  <si>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</si>
  <si>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</si>
  <si>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</si>
  <si>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</si>
  <si>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</si>
  <si>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</si>
  <si>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</si>
  <si>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</si>
  <si>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</si>
  <si>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</si>
  <si>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</si>
  <si>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</si>
  <si>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</si>
  <si>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</si>
  <si>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</si>
  <si>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</si>
  <si>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</si>
  <si>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</si>
  <si>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</si>
  <si>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</si>
  <si>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</si>
  <si>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</si>
  <si>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</si>
  <si>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</si>
  <si>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</si>
  <si>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</si>
  <si>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</si>
  <si>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</si>
  <si>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</si>
  <si>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</si>
  <si>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</si>
  <si>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</si>
  <si>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</si>
  <si>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</si>
  <si>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</si>
  <si>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</si>
  <si>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</si>
  <si>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</si>
  <si>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</si>
  <si>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</si>
  <si>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</si>
  <si>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</si>
  <si>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</si>
  <si>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</si>
  <si>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</si>
  <si>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</si>
  <si>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</si>
  <si>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</si>
  <si>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</si>
  <si>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</si>
  <si>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</si>
  <si>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</si>
  <si>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</si>
  <si>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</si>
  <si>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</si>
  <si>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</si>
  <si>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</si>
  <si>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</si>
  <si>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</si>
  <si>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</si>
  <si>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</si>
  <si>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</si>
  <si>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</si>
  <si>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</si>
  <si>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</si>
  <si>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</si>
  <si>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</si>
  <si>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</si>
  <si>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</si>
  <si>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</si>
  <si>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</si>
  <si>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</si>
  <si>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</si>
  <si>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</si>
  <si>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</si>
  <si>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</si>
  <si>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</si>
  <si>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</si>
  <si>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</si>
  <si>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</si>
  <si>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</si>
  <si>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</si>
  <si>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</si>
  <si>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</si>
  <si>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</si>
  <si>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</si>
  <si>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</si>
  <si>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</si>
  <si>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</si>
  <si>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</si>
  <si>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</si>
  <si>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</si>
  <si>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</si>
  <si>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</si>
  <si>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</si>
  <si>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</si>
  <si>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</si>
  <si>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</si>
  <si>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</si>
  <si>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</si>
  <si>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</si>
  <si>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</si>
  <si>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</si>
  <si>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</si>
  <si>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</si>
  <si>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</si>
  <si>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</si>
  <si>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</si>
  <si>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</si>
  <si>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</si>
  <si>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</si>
  <si>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</si>
  <si>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</si>
  <si>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</si>
  <si>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</si>
  <si>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</si>
  <si>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</si>
  <si>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</si>
  <si>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</si>
  <si>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</si>
  <si>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</si>
  <si>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</si>
  <si>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</si>
  <si>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</si>
  <si>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</si>
  <si>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</si>
  <si>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</si>
  <si>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</si>
  <si>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</si>
  <si>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</si>
  <si>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</si>
  <si>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</si>
  <si>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</si>
  <si>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</si>
  <si>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</si>
  <si>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</si>
  <si>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</si>
  <si>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</si>
  <si>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</si>
  <si>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</si>
  <si>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</si>
  <si>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</si>
  <si>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</si>
  <si>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</si>
  <si>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</si>
  <si>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</si>
  <si>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</si>
  <si>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</si>
  <si>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</si>
  <si>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</si>
  <si>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</si>
  <si>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</si>
  <si>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</si>
  <si>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</si>
  <si>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</si>
  <si>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</si>
  <si>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</si>
  <si>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</si>
  <si>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</si>
  <si>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</si>
  <si>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</si>
  <si>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</si>
  <si>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</si>
  <si>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</si>
  <si>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</si>
  <si>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</si>
  <si>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</si>
  <si>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</si>
  <si>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</si>
  <si>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</si>
  <si>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</si>
  <si>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</si>
  <si>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</si>
  <si>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</si>
  <si>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</si>
  <si>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</si>
  <si>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</si>
  <si>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</si>
  <si>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</si>
  <si>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</si>
  <si>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</si>
  <si>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</si>
  <si>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</si>
  <si>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</si>
  <si>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</si>
  <si>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</si>
  <si>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</si>
  <si>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</si>
  <si>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</si>
  <si>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</si>
  <si>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</si>
  <si>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</si>
  <si>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</si>
  <si>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</si>
  <si>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</si>
  <si>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</si>
  <si>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</si>
  <si>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</si>
  <si>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</si>
  <si>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</si>
  <si>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</si>
  <si>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</si>
  <si>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</si>
  <si>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</si>
  <si>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</si>
  <si>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</si>
  <si>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</si>
  <si>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</si>
  <si>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</si>
  <si>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</si>
  <si>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</si>
  <si>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</si>
  <si>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</si>
  <si>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</si>
  <si>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</si>
  <si>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</si>
  <si>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</si>
  <si>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</si>
  <si>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</si>
  <si>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</si>
  <si>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</si>
  <si>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</si>
  <si>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</si>
  <si>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</si>
  <si>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</si>
  <si>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</si>
  <si>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</si>
  <si>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</si>
  <si>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</si>
  <si>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</si>
  <si>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</si>
  <si>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</si>
  <si>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</si>
  <si>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</si>
  <si>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</si>
  <si>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</si>
  <si>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</si>
  <si>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</si>
  <si>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</si>
  <si>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</si>
  <si>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</si>
  <si>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</si>
  <si>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</si>
  <si>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</si>
  <si>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</si>
  <si>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</si>
  <si>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</si>
  <si>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</si>
  <si>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</si>
  <si>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</si>
  <si>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</si>
  <si>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</si>
  <si>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</si>
  <si>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</si>
  <si>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</si>
  <si>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</si>
  <si>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</si>
  <si>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</si>
  <si>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</si>
  <si>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</si>
  <si>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</si>
  <si>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</si>
  <si>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</si>
  <si>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</si>
  <si>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</si>
  <si>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</si>
  <si>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</si>
  <si>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</si>
  <si>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</si>
  <si>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</si>
  <si>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</si>
  <si>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</si>
  <si>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</si>
  <si>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</si>
  <si>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</si>
  <si>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</si>
  <si>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</si>
  <si>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</si>
  <si>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</si>
  <si>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</si>
  <si>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</si>
  <si>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</si>
  <si>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</si>
  <si>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</si>
  <si>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</si>
  <si>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</si>
  <si>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</si>
  <si>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</si>
  <si>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</si>
  <si>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</si>
  <si>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</si>
  <si>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</si>
  <si>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</si>
  <si>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</si>
  <si>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</si>
  <si>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</si>
  <si>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</si>
  <si>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</si>
  <si>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</si>
  <si>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</si>
  <si>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</si>
  <si>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</si>
  <si>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</si>
  <si>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</si>
  <si>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</si>
  <si>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</si>
  <si>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</si>
  <si>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</si>
  <si>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</si>
  <si>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</si>
  <si>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</si>
  <si>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</si>
  <si>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</si>
  <si>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</si>
  <si>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</si>
  <si>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</si>
  <si>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</si>
  <si>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</si>
  <si>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</si>
  <si>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</si>
  <si>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</si>
  <si>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</si>
  <si>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</si>
  <si>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</si>
  <si>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</si>
  <si>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</si>
  <si>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</si>
  <si>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</si>
  <si>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</si>
  <si>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</si>
  <si>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</si>
  <si>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</si>
  <si>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</si>
  <si>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</si>
  <si>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</si>
  <si>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</si>
  <si>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</si>
  <si>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</si>
  <si>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</si>
  <si>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</si>
  <si>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</si>
  <si>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</si>
  <si>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</si>
  <si>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</si>
  <si>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</si>
  <si>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</si>
  <si>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</si>
  <si>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</si>
  <si>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</si>
  <si>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</si>
  <si>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</si>
  <si>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</si>
  <si>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</si>
  <si>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</si>
  <si>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</si>
  <si>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</si>
  <si>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</si>
  <si>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</si>
  <si>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</si>
  <si>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</si>
  <si>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</si>
  <si>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</si>
  <si>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</si>
  <si>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</si>
  <si>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</si>
  <si>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</si>
  <si>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</si>
  <si>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</si>
  <si>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</si>
  <si>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</si>
  <si>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</si>
  <si>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</si>
  <si>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</si>
  <si>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</si>
  <si>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</si>
  <si>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</si>
  <si>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</si>
  <si>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</si>
  <si>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</si>
  <si>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</si>
  <si>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</si>
  <si>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</si>
  <si>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</si>
  <si>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</si>
  <si>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</si>
  <si>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</si>
  <si>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</si>
  <si>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</si>
  <si>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</si>
  <si>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</si>
  <si>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</si>
  <si>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</si>
  <si>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</si>
  <si>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</si>
  <si>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</si>
  <si>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</si>
  <si>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</si>
  <si>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</si>
  <si>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</si>
  <si>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</si>
  <si>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</si>
  <si>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</si>
  <si>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</si>
  <si>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</si>
  <si>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</si>
  <si>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</si>
  <si>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</si>
  <si>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</si>
  <si>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</si>
  <si>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</si>
  <si>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</si>
  <si>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</si>
  <si>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</si>
  <si>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</si>
  <si>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</si>
  <si>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</si>
  <si>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</si>
  <si>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</si>
  <si>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</si>
  <si>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</si>
  <si>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</si>
  <si>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</si>
  <si>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</si>
  <si>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</si>
  <si>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</si>
  <si>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</si>
  <si>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</si>
  <si>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</si>
  <si>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</si>
  <si>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</si>
  <si>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</si>
  <si>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</si>
  <si>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</si>
  <si>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</si>
  <si>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</si>
  <si>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</si>
  <si>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</si>
  <si>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</si>
  <si>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</si>
  <si>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</si>
  <si>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</si>
  <si>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</si>
  <si>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</si>
  <si>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</si>
  <si>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</si>
  <si>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</si>
  <si>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</si>
  <si>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</si>
  <si>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</si>
  <si>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</si>
  <si>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</si>
  <si>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</si>
  <si>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</si>
  <si>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</si>
  <si>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</si>
  <si>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</si>
  <si>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</si>
  <si>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</si>
  <si>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</si>
  <si>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</si>
  <si>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</si>
  <si>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</si>
  <si>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</si>
  <si>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</si>
  <si>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</si>
  <si>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</si>
  <si>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</si>
  <si>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</si>
  <si>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</si>
  <si>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</si>
  <si>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</si>
  <si>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</si>
  <si>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</si>
  <si>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</si>
  <si>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</si>
  <si>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</si>
  <si>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</si>
  <si>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</si>
  <si>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</si>
  <si>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</si>
  <si>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</si>
  <si>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</si>
  <si>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</si>
  <si>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</si>
  <si>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</si>
  <si>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</si>
  <si>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</si>
  <si>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</si>
  <si>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</si>
  <si>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</si>
  <si>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</si>
  <si>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</si>
  <si>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</si>
  <si>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</si>
  <si>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</si>
  <si>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</si>
  <si>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</si>
  <si>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</si>
  <si>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</si>
  <si>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</si>
  <si>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</si>
  <si>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</si>
  <si>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</si>
  <si>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</si>
  <si>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</si>
  <si>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</si>
  <si>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</si>
  <si>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</si>
  <si>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</si>
  <si>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</si>
  <si>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</si>
  <si>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</si>
  <si>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</si>
  <si>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</si>
  <si>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</si>
  <si>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</si>
  <si>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</si>
  <si>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</si>
  <si>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</si>
  <si>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</si>
  <si>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</si>
  <si>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</si>
  <si>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</si>
  <si>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</si>
  <si>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</si>
  <si>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</si>
  <si>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</si>
  <si>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</si>
  <si>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</si>
  <si>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</si>
  <si>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</si>
  <si>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</si>
  <si>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</si>
  <si>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</si>
  <si>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</si>
  <si>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</si>
  <si>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</si>
  <si>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</si>
  <si>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</si>
  <si>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</si>
  <si>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</si>
  <si>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</si>
  <si>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</si>
  <si>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</si>
  <si>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</si>
  <si>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</si>
  <si>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</si>
  <si>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</si>
  <si>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</si>
  <si>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</si>
  <si>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</si>
  <si>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</si>
  <si>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</si>
  <si>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</si>
  <si>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</si>
  <si>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</si>
  <si>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</si>
  <si>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</si>
  <si>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</si>
  <si>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</si>
  <si>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</si>
  <si>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</si>
  <si>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</si>
  <si>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</si>
  <si>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</si>
  <si>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</si>
  <si>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</si>
  <si>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</si>
  <si>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</si>
  <si>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</si>
  <si>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</si>
  <si>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</si>
  <si>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</si>
  <si>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</si>
  <si>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</si>
  <si>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</si>
  <si>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</si>
  <si>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</si>
  <si>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</si>
  <si>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</si>
  <si>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</si>
  <si>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</si>
  <si>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</si>
  <si>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</si>
  <si>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</si>
  <si>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</si>
  <si>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</si>
  <si>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</si>
  <si>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</si>
  <si>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</si>
  <si>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</si>
  <si>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</si>
  <si>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</si>
  <si>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</si>
  <si>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</si>
  <si>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</si>
  <si>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</si>
  <si>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</si>
  <si>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</si>
  <si>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</si>
  <si>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</si>
  <si>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</si>
  <si>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</si>
  <si>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</si>
  <si>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</si>
  <si>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</si>
  <si>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</si>
  <si>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</si>
  <si>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</si>
  <si>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</si>
  <si>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</si>
  <si>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</si>
  <si>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</si>
  <si>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</si>
  <si>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</si>
  <si>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</si>
  <si>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</si>
  <si>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</si>
  <si>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</si>
  <si>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</si>
  <si>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</si>
  <si>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</si>
  <si>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</si>
  <si>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</si>
  <si>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</si>
  <si>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</si>
  <si>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</si>
  <si>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</si>
  <si>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</si>
  <si>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</si>
  <si>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</si>
  <si>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</si>
  <si>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</si>
  <si>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</si>
  <si>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</si>
  <si>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</si>
  <si>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</si>
  <si>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</si>
  <si>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</si>
  <si>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</si>
  <si>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</si>
  <si>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</si>
  <si>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</si>
  <si>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</si>
  <si>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</si>
  <si>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</si>
  <si>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</si>
  <si>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</si>
  <si>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</si>
  <si>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</si>
  <si>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</si>
  <si>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</si>
  <si>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</si>
  <si>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</si>
  <si>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</si>
  <si>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</si>
  <si>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</si>
  <si>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</si>
  <si>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</si>
  <si>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</si>
  <si>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</si>
  <si>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</si>
  <si>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</si>
  <si>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</si>
  <si>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</si>
  <si>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</si>
  <si>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</si>
  <si>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</si>
  <si>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</si>
  <si>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</si>
  <si>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</si>
  <si>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</si>
  <si>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</si>
  <si>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</si>
  <si>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</si>
  <si>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</si>
  <si>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</si>
  <si>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</si>
  <si>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</si>
  <si>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</si>
  <si>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</si>
  <si>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</si>
  <si>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</si>
  <si>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</si>
  <si>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</si>
  <si>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</si>
  <si>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</si>
  <si>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</si>
  <si>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</si>
  <si>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</si>
  <si>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</si>
  <si>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</si>
  <si>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</si>
  <si>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</si>
  <si>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</si>
  <si>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</si>
  <si>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</si>
  <si>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</si>
  <si>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</si>
  <si>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</si>
  <si>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</si>
  <si>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</si>
  <si>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</si>
  <si>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</si>
  <si>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</si>
  <si>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</si>
  <si>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</si>
  <si>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</si>
  <si>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</si>
  <si>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</si>
  <si>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</si>
  <si>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</si>
  <si>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</si>
  <si>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</si>
  <si>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</si>
  <si>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</si>
  <si>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</si>
  <si>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</si>
  <si>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</si>
  <si>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</si>
  <si>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</si>
  <si>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</si>
  <si>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</si>
  <si>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</si>
  <si>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</si>
  <si>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</si>
  <si>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</si>
  <si>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</si>
  <si>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</si>
  <si>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</si>
  <si>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</si>
  <si>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</si>
  <si>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</si>
  <si>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</si>
  <si>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</si>
  <si>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</si>
  <si>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</si>
  <si>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</si>
  <si>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</si>
  <si>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</si>
  <si>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</si>
  <si>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</si>
  <si>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</si>
  <si>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</si>
  <si>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</si>
  <si>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</si>
  <si>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</si>
  <si>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</si>
  <si>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</si>
  <si>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</si>
  <si>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</si>
  <si>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</si>
  <si>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</si>
  <si>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</si>
  <si>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</si>
  <si>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</si>
  <si>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</si>
  <si>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</si>
  <si>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</si>
  <si>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</si>
  <si>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</si>
  <si>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</si>
  <si>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</si>
  <si>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</si>
  <si>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</si>
  <si>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</si>
  <si>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</si>
  <si>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</si>
  <si>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</si>
  <si>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</si>
  <si>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</si>
  <si>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</si>
  <si>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</si>
  <si>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</si>
  <si>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</si>
  <si>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</si>
  <si>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</si>
  <si>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</si>
  <si>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</si>
  <si>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</si>
  <si>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</si>
  <si>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</si>
  <si>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</si>
  <si>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</si>
  <si>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</si>
  <si>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</si>
  <si>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</si>
  <si>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</si>
  <si>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</si>
  <si>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</si>
  <si>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</si>
  <si>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</si>
  <si>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</si>
  <si>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</si>
  <si>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</si>
  <si>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</si>
  <si>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</si>
  <si>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</si>
  <si>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</si>
  <si>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</si>
  <si>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</si>
  <si>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</si>
  <si>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</si>
  <si>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</si>
  <si>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</si>
  <si>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</si>
  <si>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</si>
  <si>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</si>
  <si>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</si>
  <si>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</si>
  <si>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</si>
  <si>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</si>
  <si>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</si>
  <si>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</si>
  <si>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</si>
  <si>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</si>
  <si>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</si>
  <si>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</si>
  <si>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</si>
  <si>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</si>
  <si>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</si>
  <si>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</si>
  <si>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</si>
  <si>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</si>
  <si>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</si>
  <si>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</si>
  <si>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</si>
  <si>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</si>
  <si>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</si>
  <si>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</si>
  <si>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</si>
  <si>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</si>
  <si>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</si>
  <si>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</si>
  <si>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</si>
  <si>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</si>
  <si>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</si>
  <si>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</si>
  <si>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</si>
  <si>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</si>
  <si>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</si>
  <si>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</si>
  <si>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</si>
  <si>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</si>
  <si>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</si>
  <si>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</si>
  <si>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</si>
  <si>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</si>
  <si>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</si>
  <si>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</si>
  <si>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</si>
  <si>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</si>
  <si>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</si>
  <si>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</si>
  <si>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</si>
  <si>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</si>
  <si>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</si>
  <si>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</si>
  <si>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</si>
  <si>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</si>
  <si>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</si>
  <si>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</si>
  <si>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</si>
  <si>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</si>
  <si>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</si>
  <si>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</si>
  <si>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</si>
  <si>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</si>
  <si>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</si>
  <si>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</si>
  <si>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</si>
  <si>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</si>
  <si>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</si>
  <si>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</si>
  <si>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</si>
  <si>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</si>
  <si>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</si>
  <si>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</si>
  <si>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</si>
  <si>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</si>
  <si>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</si>
  <si>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</si>
  <si>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</si>
  <si>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</si>
  <si>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</si>
  <si>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</si>
  <si>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</si>
  <si>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</si>
  <si>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</si>
  <si>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</si>
  <si>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</si>
  <si>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</si>
  <si>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</si>
  <si>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</si>
  <si>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</si>
  <si>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</si>
  <si>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</si>
  <si>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</si>
  <si>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</si>
  <si>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</si>
  <si>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</si>
  <si>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</si>
  <si>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</si>
  <si>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</si>
  <si>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</si>
  <si>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</si>
  <si>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</si>
  <si>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</si>
  <si>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</si>
  <si>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</si>
  <si>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</si>
  <si>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</si>
  <si>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</si>
  <si>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</si>
  <si>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</si>
  <si>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</si>
  <si>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</si>
  <si>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</si>
  <si>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</si>
  <si>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</si>
  <si>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</si>
  <si>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</si>
  <si>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</si>
  <si>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</si>
  <si>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</si>
  <si>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</si>
  <si>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</si>
  <si>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</si>
  <si>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</si>
  <si>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</si>
  <si>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</si>
  <si>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</si>
  <si>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</si>
  <si>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</si>
  <si>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</si>
  <si>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</si>
  <si>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</si>
  <si>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</si>
  <si>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</si>
  <si>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</si>
  <si>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</si>
  <si>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</si>
  <si>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</si>
  <si>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</si>
  <si>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</si>
  <si>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</si>
  <si>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</si>
  <si>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</si>
  <si>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</si>
  <si>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</si>
  <si>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</si>
  <si>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</si>
  <si>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</si>
  <si>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</si>
  <si>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</si>
  <si>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</si>
  <si>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</si>
  <si>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</si>
  <si>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</si>
  <si>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</si>
  <si>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</si>
  <si>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</si>
  <si>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</si>
  <si>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</si>
  <si>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</si>
  <si>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</si>
  <si>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</si>
  <si>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</si>
  <si>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</si>
  <si>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</si>
  <si>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</si>
  <si>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</si>
  <si>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</si>
  <si>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</si>
  <si>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</si>
  <si>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</si>
  <si>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</si>
  <si>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</si>
  <si>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</si>
  <si>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</si>
  <si>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</si>
  <si>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</si>
  <si>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</si>
  <si>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</si>
  <si>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</si>
  <si>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</si>
  <si>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</si>
  <si>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</si>
  <si>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</si>
  <si>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</si>
  <si>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</si>
  <si>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</si>
  <si>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</si>
  <si>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</si>
  <si>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</si>
  <si>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</si>
  <si>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</si>
  <si>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</si>
  <si>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</si>
  <si>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</si>
  <si>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</si>
  <si>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</si>
  <si>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</si>
  <si>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</si>
  <si>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</si>
  <si>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</si>
  <si>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</si>
  <si>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</si>
  <si>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</si>
  <si>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</si>
  <si>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</si>
  <si>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</si>
  <si>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</si>
  <si>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</si>
  <si>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</si>
  <si>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</si>
  <si>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</si>
  <si>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</si>
  <si>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</si>
  <si>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</si>
  <si>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</si>
  <si>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</si>
  <si>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</si>
  <si>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</si>
  <si>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</si>
  <si>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</si>
  <si>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</si>
  <si>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</si>
  <si>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</si>
  <si>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</si>
  <si>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</si>
  <si>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</si>
  <si>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</si>
  <si>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</si>
  <si>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</si>
  <si>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</si>
  <si>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</si>
  <si>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</si>
  <si>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</si>
  <si>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</si>
  <si>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</si>
  <si>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</si>
  <si>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</si>
  <si>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</si>
  <si>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</si>
  <si>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</si>
  <si>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</si>
  <si>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</si>
  <si>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</si>
  <si>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</si>
  <si>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</si>
  <si>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</si>
  <si>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</si>
  <si>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</si>
  <si>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</si>
  <si>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</si>
  <si>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</si>
  <si>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</si>
  <si>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</si>
  <si>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</si>
  <si>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</si>
  <si>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</si>
  <si>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</si>
  <si>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</si>
  <si>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</si>
  <si>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</si>
  <si>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</si>
  <si>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</si>
  <si>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</si>
  <si>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</si>
  <si>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</si>
  <si>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</si>
  <si>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</si>
  <si>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</si>
  <si>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</si>
  <si>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</si>
  <si>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</si>
  <si>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</si>
  <si>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</si>
  <si>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</si>
  <si>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</si>
  <si>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</si>
  <si>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</si>
  <si>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</si>
  <si>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</si>
  <si>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</si>
  <si>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</si>
  <si>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</si>
  <si>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</si>
  <si>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</si>
  <si>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</si>
  <si>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</si>
  <si>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</si>
  <si>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</si>
  <si>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</si>
  <si>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</si>
  <si>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</si>
  <si>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</si>
  <si>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</si>
  <si>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</si>
  <si>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</si>
  <si>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</si>
  <si>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</si>
  <si>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</si>
  <si>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</si>
  <si>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</si>
  <si>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</si>
  <si>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</si>
  <si>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</si>
  <si>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</si>
  <si>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</si>
  <si>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</si>
  <si>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</si>
  <si>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</si>
  <si>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</si>
  <si>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</si>
  <si>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</si>
  <si>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</si>
  <si>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</si>
  <si>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</si>
  <si>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</si>
  <si>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</si>
  <si>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</si>
  <si>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</si>
  <si>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</si>
  <si>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</si>
  <si>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</si>
  <si>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</si>
  <si>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</si>
  <si>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</si>
  <si>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</si>
  <si>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</si>
  <si>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</si>
  <si>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</si>
  <si>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</si>
  <si>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</si>
  <si>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</si>
  <si>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</si>
  <si>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</si>
  <si>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</si>
  <si>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</si>
  <si>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</si>
  <si>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</si>
  <si>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</si>
  <si>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</si>
  <si>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</si>
  <si>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</si>
  <si>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</si>
  <si>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</si>
  <si>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</si>
  <si>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</si>
  <si>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</si>
  <si>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</si>
  <si>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</si>
  <si>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</si>
  <si>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</si>
  <si>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</si>
  <si>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</si>
  <si>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</si>
  <si>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</si>
  <si>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</si>
  <si>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</si>
  <si>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</si>
  <si>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</si>
  <si>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</si>
  <si>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</si>
  <si>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</si>
  <si>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</si>
  <si>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</si>
  <si>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</si>
  <si>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</si>
  <si>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</si>
  <si>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</si>
  <si>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</si>
  <si>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</si>
  <si>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</si>
  <si>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</si>
  <si>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</si>
  <si>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</si>
  <si>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</si>
  <si>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</si>
  <si>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</si>
  <si>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</si>
  <si>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</si>
  <si>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</si>
  <si>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</si>
  <si>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</si>
  <si>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</si>
  <si>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</si>
  <si>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</si>
  <si>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</si>
  <si>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</si>
  <si>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</si>
  <si>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</si>
  <si>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</si>
  <si>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</si>
  <si>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</si>
  <si>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</si>
  <si>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</si>
  <si>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</si>
  <si>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</si>
  <si>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</si>
  <si>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</si>
  <si>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</si>
  <si>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</si>
  <si>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</si>
  <si>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</si>
  <si>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</si>
  <si>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</si>
  <si>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</si>
  <si>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</si>
  <si>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</si>
  <si>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</si>
  <si>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</si>
  <si>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</si>
  <si>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</si>
  <si>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</si>
  <si>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</si>
  <si>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</si>
  <si>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</si>
  <si>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</si>
  <si>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</si>
  <si>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</si>
  <si>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</si>
  <si>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</si>
  <si>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</si>
  <si>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</si>
  <si>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</si>
  <si>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</si>
  <si>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</si>
  <si>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</si>
  <si>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</si>
  <si>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</si>
  <si>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</si>
  <si>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</si>
  <si>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</si>
  <si>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</si>
  <si>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</si>
  <si>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</si>
  <si>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</si>
  <si>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</si>
  <si>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</si>
  <si>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</si>
  <si>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</si>
  <si>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</si>
  <si>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</si>
  <si>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</si>
  <si>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</si>
  <si>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</si>
  <si>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</si>
  <si>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</si>
  <si>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</si>
  <si>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</si>
  <si>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</si>
  <si>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</si>
  <si>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</si>
  <si>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</si>
  <si>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</si>
  <si>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</si>
  <si>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</si>
  <si>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</si>
  <si>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</si>
  <si>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</si>
  <si>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</si>
  <si>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</si>
  <si>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</si>
  <si>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</si>
  <si>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</si>
  <si>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</si>
  <si>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</si>
  <si>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</si>
  <si>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</si>
  <si>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</si>
  <si>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</si>
  <si>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</si>
  <si>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</si>
  <si>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</si>
  <si>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</si>
  <si>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</si>
  <si>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</si>
  <si>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</si>
  <si>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</si>
  <si>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</si>
  <si>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</si>
  <si>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</si>
  <si>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</si>
  <si>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</si>
  <si>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</si>
  <si>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</si>
  <si>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</si>
  <si>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</si>
  <si>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</si>
  <si>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</si>
  <si>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</si>
  <si>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</si>
  <si>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</si>
  <si>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</si>
  <si>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</si>
  <si>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</si>
  <si>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</si>
  <si>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</si>
  <si>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</si>
  <si>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</si>
  <si>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</si>
  <si>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</si>
  <si>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</si>
  <si>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</si>
  <si>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</si>
  <si>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</si>
  <si>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</si>
  <si>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</si>
  <si>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</si>
  <si>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</si>
  <si>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</si>
  <si>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</si>
  <si>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</si>
  <si>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</si>
  <si>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</si>
  <si>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</si>
  <si>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</si>
  <si>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</si>
  <si>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</si>
  <si>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</si>
  <si>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</si>
  <si>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</si>
  <si>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</si>
  <si>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</si>
  <si>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</si>
  <si>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</si>
  <si>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</si>
  <si>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</si>
  <si>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</si>
  <si>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</si>
  <si>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</si>
  <si>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</si>
  <si>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</si>
  <si>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</si>
  <si>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</si>
  <si>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</si>
  <si>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</si>
  <si>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</si>
  <si>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</si>
  <si>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</si>
  <si>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</si>
  <si>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</si>
  <si>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</si>
  <si>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</si>
  <si>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</si>
  <si>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</si>
  <si>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</si>
  <si>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</si>
  <si>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</si>
  <si>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</si>
  <si>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</si>
  <si>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</si>
  <si>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</si>
  <si>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</si>
  <si>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</si>
  <si>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</si>
  <si>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</si>
  <si>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</si>
  <si>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</si>
  <si>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</si>
  <si>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</si>
  <si>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</si>
  <si>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</si>
  <si>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</si>
  <si>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</si>
  <si>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</si>
  <si>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</si>
  <si>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</si>
  <si>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</si>
  <si>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</si>
  <si>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</si>
  <si>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</si>
  <si>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</si>
  <si>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</si>
  <si>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</si>
  <si>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</si>
  <si>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</si>
  <si>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</si>
  <si>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</si>
  <si>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</si>
  <si>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</si>
  <si>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</si>
  <si>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</si>
  <si>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</si>
  <si>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</si>
  <si>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</si>
  <si>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</si>
  <si>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</si>
  <si>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</si>
  <si>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</si>
  <si>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</si>
  <si>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</si>
  <si>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</si>
  <si>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</si>
  <si>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</si>
  <si>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</si>
  <si>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</si>
  <si>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</si>
  <si>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</si>
  <si>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</si>
  <si>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</si>
  <si>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</si>
  <si>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</si>
  <si>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</si>
  <si>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</si>
  <si>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</si>
  <si>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</si>
  <si>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</si>
  <si>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</si>
  <si>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</si>
  <si>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</si>
  <si>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</si>
  <si>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</si>
  <si>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</si>
  <si>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</si>
  <si>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</si>
  <si>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</si>
  <si>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</si>
  <si>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</si>
  <si>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</si>
  <si>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</si>
  <si>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</si>
  <si>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</si>
  <si>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</si>
  <si>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</si>
  <si>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</si>
  <si>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</si>
  <si>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</si>
  <si>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</si>
  <si>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</si>
  <si>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</si>
  <si>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</si>
  <si>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</si>
  <si>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</si>
  <si>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</si>
  <si>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</si>
  <si>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</si>
  <si>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</si>
  <si>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</si>
  <si>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</si>
  <si>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</si>
  <si>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</si>
  <si>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</si>
  <si>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</si>
  <si>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</si>
  <si>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</si>
  <si>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</si>
  <si>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</si>
  <si>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</si>
  <si>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</si>
  <si>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</si>
  <si>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</si>
  <si>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</si>
  <si>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</si>
  <si>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</si>
  <si>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</si>
  <si>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</si>
  <si>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</si>
  <si>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</si>
  <si>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</si>
  <si>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</si>
  <si>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</si>
  <si>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</si>
  <si>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</si>
  <si>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</si>
  <si>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</si>
  <si>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</si>
  <si>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</si>
  <si>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</si>
  <si>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</si>
  <si>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</si>
  <si>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</si>
  <si>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</si>
  <si>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</si>
  <si>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</si>
  <si>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</si>
  <si>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</si>
  <si>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</si>
  <si>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</si>
  <si>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</si>
  <si>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</si>
  <si>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</si>
  <si>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</si>
  <si>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</si>
  <si>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</si>
  <si>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</si>
  <si>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</si>
  <si>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</si>
  <si>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</si>
  <si>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</si>
  <si>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</si>
  <si>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</si>
  <si>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</si>
  <si>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</si>
  <si>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</si>
  <si>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</si>
  <si>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</si>
  <si>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</si>
  <si>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</si>
  <si>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</si>
  <si>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</si>
  <si>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</si>
  <si>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</si>
  <si>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</si>
  <si>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</si>
  <si>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</si>
  <si>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</si>
  <si>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</si>
  <si>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</si>
  <si>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</si>
  <si>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</si>
  <si>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</si>
  <si>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</si>
  <si>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</si>
  <si>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</si>
  <si>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</si>
  <si>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</si>
  <si>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</si>
  <si>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</si>
  <si>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</si>
  <si>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</si>
  <si>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</si>
  <si>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</si>
  <si>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</si>
  <si>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</si>
  <si>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</si>
  <si>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</si>
  <si>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</si>
  <si>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</si>
  <si>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</si>
  <si>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</si>
  <si>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</si>
  <si>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</si>
  <si>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</si>
  <si>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</si>
  <si>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</si>
  <si>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</si>
  <si>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</si>
  <si>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</si>
  <si>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</si>
  <si>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</si>
  <si>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</si>
  <si>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</si>
  <si>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</si>
  <si>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</si>
  <si>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</si>
  <si>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</si>
  <si>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</si>
  <si>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</si>
  <si>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</si>
  <si>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</si>
  <si>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</si>
  <si>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</si>
  <si>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</si>
  <si>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</si>
  <si>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</si>
  <si>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</si>
  <si>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</si>
  <si>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</si>
  <si>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</si>
  <si>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</si>
  <si>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</si>
  <si>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</si>
  <si>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</si>
  <si>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</si>
  <si>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</si>
  <si>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</si>
  <si>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</si>
  <si>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</si>
  <si>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</si>
  <si>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</si>
  <si>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</si>
  <si>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</si>
  <si>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</si>
  <si>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</si>
  <si>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</si>
  <si>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</si>
  <si>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</si>
  <si>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</si>
  <si>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</si>
  <si>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</si>
  <si>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</si>
  <si>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</si>
  <si>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</si>
  <si>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</si>
  <si>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</si>
  <si>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</si>
  <si>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</si>
  <si>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</si>
  <si>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</si>
  <si>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</si>
  <si>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</si>
  <si>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</si>
  <si>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</si>
  <si>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</si>
  <si>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</si>
  <si>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</si>
  <si>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</si>
  <si>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</si>
  <si>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</si>
  <si>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</si>
  <si>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</si>
  <si>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</si>
  <si>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</si>
  <si>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</si>
  <si>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</si>
  <si>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</si>
  <si>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</si>
  <si>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</si>
  <si>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</si>
  <si>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</si>
  <si>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</si>
  <si>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</si>
  <si>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</si>
  <si>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</si>
  <si>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</si>
  <si>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</si>
  <si>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</si>
  <si>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</si>
  <si>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</si>
  <si>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</si>
  <si>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</si>
  <si>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</si>
  <si>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</si>
  <si>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</si>
  <si>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</si>
  <si>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</si>
  <si>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</si>
  <si>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</si>
  <si>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</si>
  <si>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</si>
  <si>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</si>
  <si>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</si>
  <si>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</si>
  <si>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</si>
  <si>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</si>
  <si>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</si>
  <si>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</si>
  <si>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</si>
  <si>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</si>
  <si>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</si>
  <si>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</si>
  <si>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</si>
  <si>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</si>
  <si>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</si>
  <si>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</si>
  <si>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</si>
  <si>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</si>
  <si>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</si>
  <si>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</si>
  <si>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</si>
  <si>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</si>
  <si>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</si>
  <si>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</si>
  <si>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</si>
  <si>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</si>
  <si>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</si>
  <si>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</si>
  <si>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</si>
  <si>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</si>
  <si>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</si>
  <si>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</si>
  <si>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</si>
  <si>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</si>
  <si>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</si>
  <si>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</si>
  <si>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</si>
  <si>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</si>
  <si>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</si>
  <si>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</si>
  <si>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</si>
  <si>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</si>
  <si>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</si>
  <si>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</si>
  <si>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</si>
  <si>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</si>
  <si>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</si>
  <si>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</si>
  <si>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</si>
  <si>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</si>
  <si>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</si>
  <si>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</si>
  <si>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</si>
  <si>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</si>
  <si>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</si>
  <si>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</si>
  <si>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</si>
  <si>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</si>
  <si>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</si>
  <si>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</si>
  <si>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</si>
  <si>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</si>
  <si>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</si>
  <si>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</si>
  <si>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</si>
  <si>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</si>
  <si>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</si>
  <si>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</si>
  <si>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</si>
  <si>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</si>
  <si>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</si>
  <si>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</si>
  <si>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</si>
  <si>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</si>
  <si>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</si>
  <si>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</si>
  <si>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</si>
  <si>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</si>
  <si>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</si>
  <si>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</si>
  <si>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</si>
  <si>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</si>
  <si>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</si>
  <si>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</si>
  <si>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</si>
  <si>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</si>
  <si>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</si>
  <si>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</si>
  <si>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</si>
  <si>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</si>
  <si>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</si>
  <si>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</si>
  <si>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</si>
  <si>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</si>
  <si>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</si>
  <si>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</si>
  <si>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</si>
  <si>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</si>
  <si>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</si>
  <si>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</si>
  <si>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</si>
  <si>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</si>
  <si>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</si>
  <si>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</si>
  <si>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</si>
  <si>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</si>
  <si>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</si>
  <si>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</si>
  <si>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</si>
  <si>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</si>
  <si>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</si>
  <si>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</si>
  <si>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</si>
  <si>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</si>
  <si>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</si>
  <si>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</si>
  <si>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</si>
  <si>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</si>
  <si>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</si>
  <si>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</si>
  <si>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</si>
  <si>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</si>
  <si>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</si>
  <si>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</si>
  <si>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</si>
  <si>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</si>
  <si>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</si>
  <si>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</si>
  <si>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</si>
  <si>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</si>
  <si>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</si>
  <si>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</si>
  <si>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</si>
  <si>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</si>
  <si>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</si>
  <si>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</si>
  <si>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</si>
  <si>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</si>
  <si>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</si>
  <si>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</si>
  <si>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</si>
  <si>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</si>
  <si>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</si>
  <si>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</si>
  <si>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</si>
  <si>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</si>
  <si>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</si>
  <si>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</si>
  <si>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</si>
  <si>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</si>
  <si>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</si>
  <si>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</si>
  <si>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</si>
  <si>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</si>
  <si>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</si>
  <si>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</si>
  <si>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</si>
  <si>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</si>
  <si>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</si>
  <si>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</si>
  <si>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</si>
  <si>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</si>
  <si>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</si>
  <si>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</si>
  <si>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</si>
  <si>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</si>
  <si>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</si>
  <si>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</si>
  <si>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</si>
  <si>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</si>
  <si>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</si>
  <si>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</si>
  <si>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</si>
  <si>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</si>
  <si>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</si>
  <si>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</si>
  <si>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</si>
  <si>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</si>
  <si>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</si>
  <si>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</si>
  <si>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</si>
  <si>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</si>
  <si>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</si>
  <si>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</si>
  <si>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</si>
  <si>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</si>
  <si>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</si>
  <si>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</si>
  <si>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</si>
  <si>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</si>
  <si>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</si>
  <si>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</si>
  <si>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</si>
  <si>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</si>
  <si>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</si>
  <si>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</si>
  <si>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</si>
  <si>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</si>
  <si>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</si>
  <si>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</si>
  <si>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</si>
  <si>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</si>
  <si>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</si>
  <si>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</si>
  <si>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</si>
  <si>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</si>
  <si>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</si>
  <si>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</si>
  <si>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</si>
  <si>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</si>
  <si>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</si>
  <si>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</si>
  <si>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</si>
  <si>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</si>
  <si>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</si>
  <si>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</si>
  <si>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</si>
  <si>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</si>
  <si>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</si>
  <si>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</si>
  <si>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</si>
  <si>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</si>
  <si>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</si>
  <si>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</si>
  <si>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</si>
  <si>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</si>
  <si>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</si>
  <si>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</si>
  <si>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</si>
  <si>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</si>
  <si>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</si>
  <si>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</si>
  <si>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</si>
  <si>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</si>
  <si>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</si>
  <si>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</si>
  <si>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</si>
  <si>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</si>
  <si>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</si>
  <si>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</si>
  <si>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</si>
  <si>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</si>
  <si>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</si>
  <si>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</si>
  <si>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</si>
  <si>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</si>
  <si>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</si>
  <si>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</si>
  <si>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</si>
  <si>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</si>
  <si>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</si>
  <si>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</si>
  <si>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</si>
  <si>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</si>
  <si>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</si>
  <si>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</si>
  <si>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</si>
  <si>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</si>
  <si>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</si>
  <si>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</si>
  <si>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</si>
  <si>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</si>
  <si>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</si>
  <si>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</si>
  <si>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</si>
  <si>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</si>
  <si>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</si>
  <si>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</si>
  <si>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</si>
  <si>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</si>
  <si>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</si>
  <si>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</si>
  <si>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</si>
  <si>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</si>
  <si>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</si>
  <si>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</si>
  <si>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</si>
  <si>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</si>
  <si>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</si>
  <si>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</si>
  <si>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</si>
  <si>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</si>
  <si>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</si>
  <si>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</si>
  <si>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</si>
  <si>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</si>
  <si>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</si>
  <si>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</si>
  <si>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</si>
  <si>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</si>
  <si>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</si>
  <si>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</si>
  <si>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</si>
  <si>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</si>
  <si>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</si>
  <si>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</si>
  <si>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</si>
  <si>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</si>
  <si>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</si>
  <si>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</si>
  <si>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</si>
  <si>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</si>
  <si>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</si>
  <si>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</si>
  <si>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</si>
  <si>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</si>
  <si>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</si>
  <si>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</si>
  <si>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</si>
  <si>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</si>
  <si>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</si>
  <si>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</si>
  <si>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</si>
  <si>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</si>
  <si>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</si>
  <si>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</si>
  <si>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</si>
  <si>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</si>
  <si>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</si>
  <si>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</si>
  <si>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</si>
  <si>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</si>
  <si>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</si>
  <si>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</si>
  <si>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</si>
  <si>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</si>
  <si>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</si>
  <si>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</si>
  <si>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</si>
  <si>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</si>
  <si>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</si>
  <si>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</si>
  <si>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</si>
  <si>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</si>
  <si>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</si>
  <si>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</si>
  <si>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</si>
  <si>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</si>
  <si>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</si>
  <si>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</si>
  <si>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</si>
  <si>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</si>
  <si>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</si>
  <si>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</si>
  <si>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</si>
  <si>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</si>
  <si>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</si>
  <si>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</si>
  <si>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</si>
  <si>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</si>
  <si>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</si>
  <si>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</si>
  <si>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</si>
  <si>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</si>
  <si>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</si>
  <si>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</si>
  <si>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</si>
  <si>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</si>
  <si>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</si>
  <si>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</si>
  <si>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</si>
  <si>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</si>
  <si>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</si>
  <si>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</si>
  <si>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</si>
  <si>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</si>
  <si>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</si>
  <si>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</si>
  <si>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</si>
  <si>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</si>
  <si>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</si>
  <si>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</si>
  <si>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</si>
  <si>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</si>
  <si>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</si>
  <si>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</si>
  <si>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</si>
  <si>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</si>
  <si>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</si>
  <si>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</si>
  <si>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</si>
  <si>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</si>
  <si>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</si>
  <si>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</si>
  <si>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</si>
  <si>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</si>
  <si>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</si>
  <si>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</si>
  <si>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</si>
  <si>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</si>
  <si>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</si>
  <si>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</si>
  <si>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</si>
  <si>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</si>
  <si>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</si>
  <si>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</si>
  <si>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</si>
  <si>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</si>
  <si>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</si>
  <si>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</si>
  <si>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</si>
  <si>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</si>
  <si>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</si>
  <si>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</si>
  <si>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</si>
  <si>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</si>
  <si>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</si>
  <si>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</si>
  <si>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</si>
  <si>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</si>
  <si>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</si>
  <si>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</si>
  <si>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</si>
  <si>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</si>
  <si>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</si>
  <si>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</si>
  <si>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</si>
  <si>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</si>
  <si>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</si>
  <si>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</si>
  <si>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</si>
  <si>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</si>
  <si>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</si>
  <si>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</si>
  <si>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</si>
  <si>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</si>
  <si>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</si>
  <si>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</si>
  <si>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</si>
  <si>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</si>
  <si>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</si>
  <si>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</si>
  <si>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</si>
  <si>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</si>
  <si>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</si>
  <si>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</si>
  <si>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</si>
  <si>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</si>
  <si>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</si>
  <si>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</si>
  <si>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</si>
  <si>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</si>
  <si>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</si>
  <si>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</si>
  <si>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</si>
  <si>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</si>
  <si>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</si>
  <si>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</si>
  <si>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</si>
  <si>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</si>
  <si>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</si>
  <si>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</si>
  <si>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</si>
  <si>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</si>
  <si>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</si>
  <si>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</si>
  <si>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</si>
  <si>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</si>
  <si>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</si>
  <si>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</si>
  <si>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</si>
  <si>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</si>
  <si>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</si>
  <si>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</si>
  <si>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</si>
  <si>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</si>
  <si>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</si>
  <si>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</si>
  <si>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</si>
  <si>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</si>
  <si>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</si>
  <si>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</si>
  <si>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</si>
  <si>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</si>
  <si>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</si>
  <si>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</si>
  <si>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</si>
  <si>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</si>
  <si>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</si>
  <si>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</si>
  <si>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</si>
  <si>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</si>
  <si>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</si>
  <si>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</si>
  <si>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</si>
  <si>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</si>
  <si>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</si>
  <si>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</si>
  <si>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</si>
  <si>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</si>
  <si>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</si>
  <si>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</si>
  <si>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</si>
  <si>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</si>
  <si>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</si>
  <si>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</si>
  <si>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</si>
  <si>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</si>
  <si>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</si>
  <si>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</si>
  <si>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</si>
  <si>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</si>
  <si>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</si>
  <si>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</si>
  <si>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</si>
  <si>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</si>
  <si>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</si>
  <si>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</si>
  <si>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</si>
  <si>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</si>
  <si>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</si>
  <si>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</si>
  <si>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</si>
  <si>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</si>
  <si>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</si>
  <si>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</si>
  <si>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</si>
  <si>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</si>
  <si>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</si>
  <si>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</si>
  <si>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</si>
  <si>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</si>
  <si>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</si>
  <si>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</si>
  <si>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</si>
  <si>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</si>
  <si>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</si>
  <si>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</si>
  <si>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</si>
  <si>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</si>
  <si>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</si>
  <si>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</si>
  <si>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</si>
  <si>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</si>
  <si>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</si>
  <si>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</si>
  <si>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</si>
  <si>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</si>
  <si>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</si>
  <si>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</si>
  <si>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</si>
  <si>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</si>
  <si>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</si>
  <si>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</si>
  <si>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</si>
  <si>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</si>
  <si>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</si>
  <si>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</si>
  <si>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</si>
  <si>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</si>
  <si>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</si>
  <si>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</si>
  <si>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</si>
  <si>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</si>
  <si>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</si>
  <si>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</si>
  <si>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</si>
  <si>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</si>
  <si>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</si>
  <si>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</si>
  <si>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</si>
  <si>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</si>
  <si>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</si>
  <si>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</si>
  <si>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</si>
  <si>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</si>
  <si>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</si>
  <si>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</si>
  <si>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</si>
  <si>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</si>
  <si>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</si>
  <si>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</si>
  <si>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</si>
  <si>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</si>
  <si>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</si>
  <si>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</si>
  <si>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</si>
  <si>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</si>
  <si>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</si>
  <si>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</si>
  <si>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</si>
  <si>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</si>
  <si>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</si>
  <si>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</si>
  <si>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</si>
  <si>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</si>
  <si>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</si>
  <si>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</si>
  <si>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</si>
  <si>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</si>
  <si>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</si>
  <si>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</si>
  <si>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</si>
  <si>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</si>
  <si>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</si>
  <si>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</si>
  <si>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</si>
  <si>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</si>
  <si>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</si>
  <si>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</si>
  <si>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</si>
  <si>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</si>
  <si>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</si>
  <si>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</si>
  <si>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</si>
  <si>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</si>
  <si>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</si>
  <si>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</si>
  <si>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</si>
  <si>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</si>
  <si>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</si>
  <si>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</si>
  <si>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</si>
  <si>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</si>
  <si>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</si>
  <si>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</si>
  <si>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</si>
  <si>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</si>
  <si>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</si>
  <si>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</si>
  <si>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</si>
  <si>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</si>
  <si>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</si>
  <si>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</si>
  <si>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</si>
  <si>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</si>
  <si>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</si>
  <si>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</si>
  <si>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</si>
  <si>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</si>
  <si>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</si>
  <si>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</si>
  <si>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</si>
  <si>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</si>
  <si>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</si>
  <si>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</si>
  <si>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</si>
  <si>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</si>
  <si>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</si>
  <si>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</si>
  <si>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</si>
  <si>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</si>
  <si>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</si>
  <si>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</si>
  <si>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</si>
  <si>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</si>
  <si>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</si>
  <si>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</si>
  <si>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</si>
  <si>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</si>
  <si>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</si>
  <si>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</si>
  <si>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</si>
  <si>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</si>
  <si>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</si>
  <si>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</si>
  <si>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</si>
  <si>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</si>
  <si>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</si>
  <si>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</si>
  <si>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</si>
  <si>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</si>
  <si>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</si>
  <si>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</si>
  <si>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</si>
  <si>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</si>
  <si>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</si>
  <si>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</si>
  <si>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</si>
  <si>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</si>
  <si>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</si>
  <si>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</si>
  <si>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</si>
  <si>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</si>
  <si>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</si>
  <si>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</si>
  <si>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</si>
  <si>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</si>
  <si>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</si>
  <si>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</si>
  <si>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</si>
  <si>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</si>
  <si>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</si>
  <si>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</si>
  <si>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</si>
  <si>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</si>
  <si>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</si>
  <si>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</si>
  <si>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</si>
  <si>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</si>
  <si>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</si>
  <si>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</si>
  <si>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</si>
  <si>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</si>
  <si>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</si>
  <si>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</si>
  <si>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</si>
  <si>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</si>
  <si>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</si>
  <si>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</si>
  <si>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</si>
  <si>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</si>
  <si>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</si>
  <si>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</si>
  <si>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</si>
  <si>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</si>
  <si>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</si>
  <si>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</si>
  <si>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</si>
  <si>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</si>
  <si>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</si>
  <si>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</si>
  <si>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</si>
  <si>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</si>
  <si>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</si>
  <si>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</si>
  <si>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</si>
  <si>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</si>
  <si>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</si>
  <si>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</si>
  <si>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</si>
  <si>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</si>
  <si>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</si>
  <si>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</si>
  <si>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</si>
  <si>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</si>
  <si>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</si>
  <si>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</si>
  <si>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</si>
  <si>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</si>
  <si>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</si>
  <si>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</si>
  <si>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</si>
  <si>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</si>
  <si>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</si>
  <si>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</si>
  <si>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</si>
  <si>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</si>
  <si>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</si>
  <si>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</si>
  <si>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</si>
  <si>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</si>
  <si>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</si>
  <si>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</si>
  <si>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</si>
  <si>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</si>
  <si>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</si>
  <si>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</si>
  <si>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</si>
  <si>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</si>
  <si>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</si>
  <si>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</si>
  <si>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</si>
  <si>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</si>
  <si>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</si>
  <si>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</si>
  <si>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</si>
  <si>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</si>
  <si>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</si>
  <si>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</si>
  <si>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</si>
  <si>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</si>
  <si>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</si>
  <si>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</si>
  <si>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</si>
  <si>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</si>
  <si>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</si>
  <si>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</si>
  <si>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</si>
  <si>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</si>
  <si>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</si>
  <si>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</si>
  <si>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</si>
  <si>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</si>
  <si>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</si>
  <si>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</si>
  <si>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</si>
  <si>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</si>
  <si>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</si>
  <si>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</si>
  <si>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</si>
  <si>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</si>
  <si>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</si>
  <si>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</si>
  <si>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</si>
  <si>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</si>
  <si>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</si>
  <si>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</si>
  <si>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</si>
  <si>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</si>
  <si>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</si>
  <si>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</si>
  <si>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</si>
  <si>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</si>
  <si>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</si>
  <si>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</si>
  <si>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</si>
  <si>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</si>
  <si>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</si>
  <si>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</si>
  <si>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</si>
  <si>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</si>
  <si>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</si>
  <si>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</si>
  <si>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</si>
  <si>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</si>
  <si>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</si>
  <si>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</si>
  <si>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</si>
  <si>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</si>
  <si>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</si>
  <si>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</si>
  <si>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</si>
  <si>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</si>
  <si>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</si>
  <si>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</si>
  <si>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</si>
  <si>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</si>
  <si>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</si>
  <si>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</si>
  <si>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</si>
  <si>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</si>
  <si>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</si>
  <si>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</si>
  <si>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</si>
  <si>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</si>
  <si>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</si>
  <si>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</si>
  <si>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</si>
  <si>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</si>
  <si>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</si>
  <si>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</si>
  <si>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</si>
  <si>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</si>
  <si>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</si>
  <si>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</si>
  <si>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</si>
  <si>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</si>
  <si>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</si>
  <si>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</si>
  <si>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</si>
  <si>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</si>
  <si>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</si>
  <si>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</si>
  <si>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</si>
  <si>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</si>
  <si>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</si>
  <si>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</si>
  <si>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</si>
  <si>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</si>
  <si>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</si>
  <si>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</si>
  <si>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</si>
  <si>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</si>
  <si>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</si>
  <si>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</si>
  <si>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</si>
  <si>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</si>
  <si>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</si>
  <si>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</si>
  <si>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</si>
  <si>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</si>
  <si>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</si>
  <si>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</si>
  <si>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</si>
  <si>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</si>
  <si>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</si>
  <si>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</si>
  <si>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</si>
  <si>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</si>
  <si>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</si>
  <si>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</si>
  <si>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</si>
  <si>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</si>
  <si>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</si>
  <si>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</si>
  <si>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</si>
  <si>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</si>
  <si>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</si>
  <si>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</si>
  <si>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</si>
  <si>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</si>
  <si>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</si>
  <si>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</si>
  <si>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</si>
  <si>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</si>
  <si>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</si>
  <si>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</si>
  <si>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</si>
  <si>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</si>
  <si>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</si>
  <si>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</si>
  <si>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</si>
  <si>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</si>
  <si>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</si>
  <si>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</si>
  <si>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</si>
  <si>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</si>
  <si>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</si>
  <si>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</si>
  <si>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</si>
  <si>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</si>
  <si>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</si>
  <si>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</si>
  <si>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</si>
  <si>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</si>
  <si>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</si>
  <si>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</si>
  <si>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</si>
  <si>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</si>
  <si>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</si>
  <si>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</si>
  <si>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</si>
  <si>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</si>
  <si>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</si>
  <si>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</si>
  <si>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</si>
  <si>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</si>
  <si>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</si>
  <si>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</si>
  <si>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</si>
  <si>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</si>
  <si>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</si>
  <si>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</si>
  <si>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</si>
  <si>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</si>
  <si>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</si>
  <si>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</si>
  <si>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</si>
  <si>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</si>
  <si>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</si>
  <si>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</si>
  <si>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</si>
  <si>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</si>
  <si>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</si>
  <si>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</si>
  <si>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</si>
  <si>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</si>
  <si>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</si>
  <si>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</si>
  <si>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</si>
  <si>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</si>
  <si>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</si>
  <si>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</si>
  <si>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</si>
  <si>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</si>
  <si>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</si>
  <si>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</si>
  <si>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</si>
  <si>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</si>
  <si>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</si>
  <si>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</si>
  <si>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</si>
  <si>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</si>
  <si>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</si>
  <si>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</si>
  <si>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</si>
  <si>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</si>
  <si>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</si>
  <si>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</si>
  <si>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</si>
  <si>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</si>
  <si>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</si>
  <si>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</si>
  <si>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</si>
  <si>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</si>
  <si>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</si>
  <si>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</si>
  <si>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</si>
  <si>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</si>
  <si>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</si>
  <si>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</si>
  <si>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</si>
  <si>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</si>
  <si>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</si>
  <si>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</si>
  <si>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</si>
  <si>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</si>
  <si>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</si>
  <si>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</si>
  <si>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</si>
  <si>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</si>
  <si>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</si>
  <si>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</si>
  <si>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</si>
  <si>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</si>
  <si>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</si>
  <si>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</si>
  <si>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</si>
  <si>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</si>
  <si>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</si>
  <si>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</si>
  <si>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</si>
  <si>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</si>
  <si>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</si>
  <si>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</si>
  <si>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</si>
  <si>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</si>
  <si>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</si>
  <si>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</si>
  <si>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</si>
  <si>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</si>
  <si>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</si>
  <si>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</si>
  <si>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</si>
  <si>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</si>
  <si>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</si>
  <si>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</si>
  <si>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</si>
  <si>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</si>
  <si>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</si>
  <si>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</si>
  <si>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</si>
  <si>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</si>
  <si>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</si>
  <si>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</si>
  <si>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</si>
  <si>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</si>
  <si>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</si>
  <si>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</si>
  <si>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</si>
  <si>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</si>
  <si>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</si>
  <si>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</si>
  <si>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</si>
  <si>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</si>
  <si>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</si>
  <si>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</si>
  <si>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</si>
  <si>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</si>
  <si>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</si>
  <si>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</si>
  <si>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</si>
  <si>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</si>
  <si>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</si>
  <si>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</si>
  <si>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</si>
  <si>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</si>
  <si>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</si>
  <si>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</si>
  <si>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</si>
  <si>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</si>
  <si>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</si>
  <si>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</si>
  <si>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</si>
  <si>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</si>
  <si>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</si>
  <si>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</si>
  <si>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</si>
  <si>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</si>
  <si>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</si>
  <si>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</si>
  <si>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</si>
  <si>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</si>
  <si>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</si>
  <si>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</si>
  <si>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</si>
  <si>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</si>
  <si>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</si>
  <si>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</si>
  <si>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</si>
  <si>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</si>
  <si>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</si>
  <si>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</si>
  <si>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</si>
  <si>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</si>
  <si>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</si>
  <si>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</si>
  <si>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</si>
  <si>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</si>
  <si>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</si>
  <si>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</si>
  <si>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</si>
  <si>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</si>
  <si>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</si>
  <si>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</si>
  <si>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</si>
  <si>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</si>
  <si>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</si>
  <si>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</si>
  <si>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</si>
  <si>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</si>
  <si>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</si>
  <si>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</si>
  <si>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</si>
  <si>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</si>
  <si>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</si>
  <si>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</si>
  <si>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</si>
  <si>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</si>
  <si>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</si>
  <si>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</si>
  <si>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</si>
  <si>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</si>
  <si>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</si>
  <si>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</si>
  <si>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</si>
  <si>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</si>
  <si>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</si>
  <si>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</si>
  <si>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</si>
  <si>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</si>
  <si>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</si>
  <si>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</si>
  <si>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</si>
  <si>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</si>
  <si>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</si>
  <si>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</si>
  <si>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</si>
  <si>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</si>
  <si>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</si>
  <si>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</si>
  <si>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</si>
  <si>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</si>
  <si>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</si>
  <si>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</si>
  <si>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</si>
  <si>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</si>
  <si>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</si>
  <si>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</si>
  <si>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</si>
  <si>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</si>
  <si>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</si>
  <si>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</si>
  <si>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</si>
  <si>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</si>
  <si>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</si>
  <si>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</si>
  <si>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</si>
  <si>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</si>
  <si>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</si>
  <si>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</si>
  <si>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</si>
  <si>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</si>
  <si>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</si>
  <si>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</si>
  <si>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</si>
  <si>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</si>
  <si>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</si>
  <si>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</si>
  <si>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</si>
  <si>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</si>
  <si>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</si>
  <si>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</si>
  <si>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</si>
  <si>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</si>
  <si>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</si>
  <si>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</si>
  <si>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</si>
  <si>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</si>
  <si>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</si>
  <si>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</si>
  <si>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</si>
  <si>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</si>
  <si>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</si>
  <si>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</si>
  <si>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</si>
  <si>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</si>
  <si>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</si>
  <si>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</si>
  <si>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</si>
  <si>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</si>
  <si>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</si>
  <si>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</si>
  <si>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</si>
  <si>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</si>
  <si>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</si>
  <si>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</si>
  <si>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</si>
  <si>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</si>
  <si>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</si>
  <si>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</si>
  <si>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</si>
  <si>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</si>
  <si>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</si>
  <si>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</si>
  <si>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</si>
  <si>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</si>
  <si>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</si>
  <si>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</si>
  <si>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</si>
  <si>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</si>
  <si>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</si>
  <si>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</si>
  <si>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</si>
  <si>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</si>
  <si>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</si>
  <si>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</si>
  <si>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</si>
  <si>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</si>
  <si>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</si>
  <si>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</si>
  <si>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</si>
  <si>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</si>
  <si>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</si>
  <si>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</si>
  <si>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</si>
  <si>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</si>
  <si>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</si>
  <si>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</si>
  <si>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</si>
  <si>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</si>
  <si>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</si>
  <si>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</si>
  <si>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</si>
  <si>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</si>
  <si>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</si>
  <si>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</si>
  <si>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</si>
  <si>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</si>
  <si>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</si>
  <si>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</si>
  <si>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</si>
  <si>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</si>
  <si>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</si>
  <si>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</si>
  <si>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</si>
  <si>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</si>
  <si>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</si>
  <si>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</si>
  <si>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</si>
  <si>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</si>
  <si>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</si>
  <si>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</si>
  <si>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</si>
  <si>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</si>
  <si>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</si>
  <si>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</si>
  <si>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</si>
  <si>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</si>
  <si>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</si>
  <si>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</si>
  <si>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</si>
  <si>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</si>
  <si>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</si>
  <si>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</si>
  <si>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</si>
  <si>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</si>
  <si>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</si>
  <si>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</si>
  <si>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</si>
  <si>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</si>
  <si>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</si>
  <si>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</si>
  <si>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</si>
  <si>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</si>
  <si>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</si>
  <si>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</si>
  <si>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</si>
  <si>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</si>
  <si>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</si>
  <si>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</si>
  <si>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</si>
  <si>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</si>
  <si>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</si>
  <si>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</si>
  <si>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</si>
  <si>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</si>
  <si>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</si>
  <si>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</si>
  <si>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</si>
  <si>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</si>
  <si>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</si>
  <si>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</si>
  <si>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</si>
  <si>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</si>
  <si>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</si>
  <si>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</si>
  <si>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</si>
  <si>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</si>
  <si>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</si>
  <si>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</si>
  <si>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</si>
  <si>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</si>
  <si>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</si>
  <si>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</si>
  <si>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</si>
  <si>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</si>
  <si>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</si>
  <si>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</si>
  <si>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</si>
  <si>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</si>
  <si>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</si>
  <si>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</si>
  <si>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</si>
  <si>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</si>
  <si>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</si>
  <si>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</si>
  <si>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</si>
  <si>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</si>
  <si>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</si>
  <si>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</si>
  <si>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</si>
  <si>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</si>
  <si>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</si>
  <si>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</si>
  <si>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</si>
  <si>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</si>
  <si>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</si>
  <si>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</si>
  <si>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</si>
  <si>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</si>
  <si>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</si>
  <si>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</si>
  <si>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</si>
  <si>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</si>
  <si>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</si>
  <si>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</si>
  <si>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</si>
  <si>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</si>
  <si>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</si>
  <si>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</si>
  <si>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</si>
  <si>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</si>
  <si>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</si>
  <si>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</si>
  <si>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</si>
  <si>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</si>
  <si>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</si>
  <si>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</si>
  <si>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</si>
  <si>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</si>
  <si>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</si>
  <si>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</si>
  <si>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</si>
  <si>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</si>
  <si>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</si>
  <si>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</si>
  <si>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</si>
  <si>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</si>
  <si>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</si>
  <si>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</si>
  <si>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</si>
  <si>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</si>
  <si>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</si>
  <si>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</si>
  <si>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</si>
  <si>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</si>
  <si>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</si>
  <si>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</si>
  <si>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</si>
  <si>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</si>
  <si>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</si>
  <si>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</si>
  <si>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</si>
  <si>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</si>
  <si>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</si>
  <si>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</si>
  <si>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</si>
  <si>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</si>
  <si>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</si>
  <si>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</si>
  <si>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</si>
  <si>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</si>
  <si>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</si>
  <si>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</si>
  <si>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</si>
  <si>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</si>
  <si>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</si>
  <si>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</si>
  <si>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</si>
  <si>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</si>
  <si>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</si>
  <si>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</si>
  <si>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</si>
  <si>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</si>
  <si>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</si>
  <si>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</si>
  <si>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</si>
  <si>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</si>
  <si>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</si>
  <si>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</si>
  <si>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</si>
  <si>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</si>
  <si>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</si>
  <si>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</si>
  <si>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</si>
  <si>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</si>
  <si>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</si>
  <si>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</si>
  <si>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</si>
  <si>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</si>
  <si>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</si>
  <si>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</si>
  <si>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</si>
  <si>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</si>
  <si>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</si>
  <si>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</si>
  <si>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</si>
  <si>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</si>
  <si>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</si>
  <si>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</si>
  <si>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</si>
  <si>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</si>
  <si>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</si>
  <si>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</si>
  <si>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</si>
  <si>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</si>
  <si>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</si>
  <si>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</si>
  <si>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</si>
  <si>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</si>
  <si>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</si>
  <si>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</si>
  <si>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</si>
  <si>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</si>
  <si>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</si>
  <si>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</si>
  <si>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</si>
  <si>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</si>
  <si>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</si>
  <si>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</si>
  <si>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</si>
  <si>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</si>
  <si>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</si>
  <si>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</si>
  <si>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</si>
  <si>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</si>
  <si>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</si>
  <si>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</si>
  <si>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</si>
  <si>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</si>
  <si>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</si>
  <si>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</si>
  <si>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</si>
  <si>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</si>
  <si>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</si>
  <si>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</si>
  <si>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</si>
  <si>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</si>
  <si>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</si>
  <si>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</si>
  <si>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</si>
  <si>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</si>
  <si>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</si>
  <si>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</si>
  <si>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</si>
  <si>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</si>
  <si>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</si>
  <si>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</si>
  <si>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</si>
  <si>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</si>
  <si>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</si>
  <si>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</si>
  <si>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</si>
  <si>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</si>
  <si>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</si>
  <si>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</si>
  <si>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</si>
  <si>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</si>
  <si>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</si>
  <si>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</si>
  <si>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</si>
  <si>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</si>
  <si>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</si>
  <si>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</si>
  <si>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</si>
  <si>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</si>
  <si>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</si>
  <si>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</si>
  <si>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</si>
  <si>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</si>
  <si>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</si>
  <si>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</si>
  <si>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</si>
  <si>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</si>
  <si>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</si>
  <si>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</si>
  <si>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</si>
  <si>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</si>
  <si>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</si>
  <si>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</si>
  <si>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</si>
  <si>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</si>
  <si>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</si>
  <si>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</si>
  <si>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</si>
  <si>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</si>
  <si>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</si>
  <si>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</si>
  <si>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</si>
  <si>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</si>
  <si>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</si>
  <si>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</si>
  <si>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</si>
  <si>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</si>
  <si>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</si>
  <si>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</si>
  <si>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</si>
  <si>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</si>
  <si>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</si>
  <si>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</si>
  <si>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</si>
  <si>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</si>
  <si>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</si>
  <si>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</si>
  <si>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</si>
  <si>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</si>
  <si>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</si>
  <si>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</si>
  <si>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</si>
  <si>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</si>
  <si>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</si>
  <si>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</si>
  <si>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</si>
  <si>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</si>
  <si>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</si>
  <si>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</si>
  <si>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</si>
  <si>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</si>
  <si>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</si>
  <si>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</si>
  <si>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</si>
  <si>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</si>
  <si>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</si>
  <si>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</si>
  <si>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</si>
  <si>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</si>
  <si>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</si>
  <si>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</si>
  <si>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</si>
  <si>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</si>
  <si>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</si>
  <si>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</si>
  <si>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</si>
  <si>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</si>
  <si>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</si>
  <si>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</si>
  <si>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</si>
  <si>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</si>
  <si>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</si>
  <si>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</si>
  <si>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</si>
  <si>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</si>
  <si>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</si>
  <si>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</si>
  <si>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</si>
  <si>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</si>
  <si>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</si>
  <si>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</si>
  <si>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</si>
  <si>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</si>
  <si>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</si>
  <si>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</si>
  <si>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</si>
  <si>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</si>
  <si>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</si>
  <si>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</si>
  <si>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</si>
  <si>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</si>
  <si>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</si>
  <si>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</si>
  <si>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</si>
  <si>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</si>
  <si>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</si>
  <si>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</si>
  <si>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</si>
  <si>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</si>
  <si>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</si>
  <si>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</si>
  <si>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</si>
  <si>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</si>
  <si>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</si>
  <si>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</si>
  <si>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</si>
  <si>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</si>
  <si>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</si>
  <si>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</si>
  <si>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</si>
  <si>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</si>
  <si>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</si>
  <si>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</si>
  <si>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</si>
  <si>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</si>
  <si>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</si>
  <si>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</si>
  <si>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</si>
  <si>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</si>
  <si>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</si>
  <si>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</si>
  <si>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</si>
  <si>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</si>
  <si>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</si>
  <si>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</si>
  <si>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</si>
  <si>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</si>
  <si>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</si>
  <si>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</si>
  <si>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</si>
  <si>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</si>
  <si>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</si>
  <si>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</si>
  <si>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</si>
  <si>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</si>
  <si>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</si>
  <si>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</si>
  <si>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</si>
  <si>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</si>
  <si>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</si>
  <si>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</si>
  <si>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</si>
  <si>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</si>
  <si>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</si>
  <si>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</si>
  <si>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</si>
  <si>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</si>
  <si>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</si>
  <si>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</si>
  <si>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</si>
  <si>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</si>
  <si>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</si>
  <si>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</si>
  <si>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</si>
  <si>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</si>
  <si>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</si>
  <si>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</si>
  <si>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</si>
  <si>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</si>
  <si>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</si>
  <si>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</si>
  <si>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</si>
  <si>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</si>
  <si>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</si>
  <si>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</si>
  <si>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</si>
  <si>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</si>
  <si>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</si>
  <si>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</si>
  <si>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</si>
  <si>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</si>
  <si>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</si>
  <si>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</si>
  <si>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</si>
  <si>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</si>
  <si>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</si>
  <si>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</si>
  <si>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</si>
  <si>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</si>
  <si>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</si>
  <si>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</si>
  <si>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</si>
  <si>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</si>
  <si>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</si>
  <si>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</si>
  <si>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</si>
  <si>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</si>
  <si>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</si>
  <si>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</si>
  <si>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</si>
  <si>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</si>
  <si>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</si>
  <si>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</si>
  <si>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</si>
  <si>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</si>
  <si>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</si>
  <si>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</si>
  <si>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</si>
  <si>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</si>
  <si>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</si>
  <si>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</si>
  <si>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</si>
  <si>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</si>
  <si>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</si>
  <si>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</si>
  <si>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</si>
  <si>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</si>
  <si>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</si>
  <si>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</si>
  <si>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</si>
  <si>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</si>
  <si>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</si>
  <si>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</si>
  <si>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</si>
  <si>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</si>
  <si>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</si>
  <si>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</si>
  <si>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</si>
  <si>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</si>
  <si>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</si>
  <si>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</si>
  <si>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</si>
  <si>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</si>
  <si>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</si>
  <si>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</si>
  <si>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</si>
  <si>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</si>
  <si>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</si>
  <si>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</si>
  <si>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</si>
  <si>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</si>
  <si>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</si>
  <si>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</si>
  <si>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</si>
  <si>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</si>
  <si>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</si>
  <si>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</si>
  <si>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</si>
  <si>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</si>
  <si>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</si>
  <si>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</si>
  <si>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</si>
  <si>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</si>
  <si>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</si>
  <si>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</si>
  <si>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</si>
  <si>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</si>
  <si>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</si>
  <si>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</si>
  <si>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</si>
  <si>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</si>
  <si>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</si>
  <si>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</si>
  <si>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</si>
  <si>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</si>
  <si>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</si>
  <si>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</si>
  <si>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</si>
  <si>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</si>
  <si>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</si>
  <si>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</si>
  <si>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</si>
  <si>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</si>
  <si>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</si>
  <si>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</si>
  <si>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</si>
  <si>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</si>
  <si>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</si>
  <si>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</si>
  <si>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</si>
  <si>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</si>
  <si>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</si>
  <si>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</si>
  <si>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</si>
  <si>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</si>
  <si>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</si>
  <si>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</si>
  <si>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</si>
  <si>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</si>
  <si>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</si>
  <si>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</si>
  <si>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</si>
  <si>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</si>
  <si>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</si>
  <si>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</si>
  <si>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</si>
  <si>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</si>
  <si>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</si>
  <si>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</si>
  <si>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</si>
  <si>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</si>
  <si>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</si>
  <si>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</si>
  <si>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</si>
  <si>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</si>
  <si>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</si>
  <si>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</si>
  <si>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</si>
  <si>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</si>
  <si>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</si>
  <si>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</si>
  <si>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</si>
  <si>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</si>
  <si>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</si>
  <si>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</si>
  <si>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</si>
  <si>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</si>
  <si>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</si>
  <si>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</si>
  <si>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</si>
  <si>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</si>
  <si>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</si>
  <si>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</si>
  <si>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</si>
  <si>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</si>
  <si>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</si>
  <si>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</si>
  <si>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</si>
  <si>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</si>
  <si>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</si>
  <si>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</si>
  <si>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</si>
  <si>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</si>
  <si>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</si>
  <si>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</si>
  <si>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</si>
  <si>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</si>
  <si>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</si>
  <si>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</si>
  <si>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</si>
  <si>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</si>
  <si>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</si>
  <si>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</si>
  <si>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</si>
  <si>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</si>
  <si>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</si>
  <si>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</si>
  <si>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</si>
  <si>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</si>
  <si>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</si>
  <si>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</si>
  <si>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</si>
  <si>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</si>
  <si>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</si>
  <si>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</si>
  <si>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</si>
  <si>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</si>
  <si>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</si>
  <si>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</si>
  <si>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</si>
  <si>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</si>
  <si>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</si>
  <si>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</si>
  <si>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</si>
  <si>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</si>
  <si>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</si>
  <si>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</si>
  <si>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</si>
  <si>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</si>
  <si>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</si>
  <si>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</si>
  <si>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</si>
  <si>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</si>
  <si>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</si>
  <si>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</si>
  <si>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</si>
  <si>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</si>
  <si>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</si>
  <si>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</si>
  <si>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</si>
  <si>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</si>
  <si>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</si>
  <si>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</si>
  <si>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</si>
  <si>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</si>
  <si>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</si>
  <si>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</si>
  <si>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</si>
  <si>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</si>
  <si>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</si>
  <si>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</si>
  <si>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</si>
  <si>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</si>
  <si>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</si>
  <si>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</si>
  <si>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</si>
  <si>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</si>
  <si>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</si>
  <si>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</si>
  <si>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</si>
  <si>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</si>
  <si>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</si>
  <si>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</si>
  <si>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</si>
  <si>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</si>
  <si>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</si>
  <si>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</si>
  <si>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</si>
  <si>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</si>
  <si>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</si>
  <si>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</si>
  <si>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</si>
  <si>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</si>
  <si>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</si>
  <si>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</si>
  <si>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</si>
  <si>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</si>
  <si>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</si>
  <si>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</si>
  <si>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</si>
  <si>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</si>
  <si>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</si>
  <si>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</si>
  <si>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</si>
  <si>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</si>
  <si>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</si>
  <si>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</si>
  <si>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</si>
  <si>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</si>
  <si>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</si>
  <si>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</si>
  <si>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</si>
  <si>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</si>
  <si>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</si>
  <si>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</si>
  <si>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</si>
  <si>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</si>
  <si>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</si>
  <si>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</si>
  <si>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</si>
  <si>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</si>
  <si>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</si>
  <si>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</si>
  <si>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</si>
  <si>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</si>
  <si>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</si>
  <si>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</si>
  <si>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</si>
  <si>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</si>
  <si>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</si>
  <si>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</si>
  <si>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</si>
  <si>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</si>
  <si>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</si>
  <si>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</si>
  <si>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</si>
  <si>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</si>
  <si>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</si>
  <si>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</si>
  <si>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</si>
  <si>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</si>
  <si>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</si>
  <si>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</si>
  <si>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</si>
  <si>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</si>
  <si>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</si>
  <si>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</si>
  <si>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</si>
  <si>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</si>
  <si>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</si>
  <si>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</si>
  <si>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</si>
  <si>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</si>
  <si>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</si>
  <si>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</si>
  <si>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</si>
  <si>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</si>
  <si>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</si>
  <si>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</si>
  <si>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</si>
  <si>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</si>
  <si>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</si>
  <si>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</si>
  <si>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</si>
  <si>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</si>
  <si>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</si>
  <si>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</si>
  <si>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</si>
  <si>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</si>
  <si>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</si>
  <si>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</si>
  <si>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</si>
  <si>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</si>
  <si>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</si>
  <si>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</si>
  <si>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</si>
  <si>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</si>
  <si>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</si>
  <si>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</si>
  <si>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</si>
  <si>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</si>
  <si>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</si>
  <si>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</si>
  <si>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</si>
  <si>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</si>
  <si>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</si>
  <si>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</si>
  <si>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</si>
  <si>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</si>
  <si>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</si>
  <si>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</si>
  <si>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</si>
  <si>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</si>
  <si>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</si>
  <si>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</si>
  <si>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</si>
  <si>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</si>
  <si>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</si>
  <si>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</si>
  <si>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</si>
  <si>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</si>
  <si>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</si>
  <si>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</si>
  <si>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</si>
  <si>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</si>
  <si>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</si>
  <si>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</si>
  <si>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</si>
  <si>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</si>
  <si>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</si>
  <si>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</si>
  <si>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</si>
  <si>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</si>
  <si>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</si>
  <si>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</si>
  <si>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</si>
  <si>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</si>
  <si>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</si>
  <si>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</si>
  <si>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</si>
  <si>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</si>
  <si>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</si>
  <si>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</si>
  <si>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</si>
  <si>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</si>
  <si>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</si>
  <si>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</si>
  <si>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</si>
  <si>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</si>
  <si>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</si>
  <si>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</si>
  <si>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</si>
  <si>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</si>
  <si>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</si>
  <si>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</si>
  <si>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</si>
  <si>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</si>
  <si>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</si>
  <si>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</si>
  <si>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</si>
  <si>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</si>
  <si>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</si>
  <si>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</si>
  <si>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</si>
  <si>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</si>
  <si>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</si>
  <si>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</si>
  <si>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</si>
  <si>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</si>
  <si>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</si>
  <si>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</si>
  <si>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</si>
  <si>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</si>
  <si>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</si>
  <si>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</si>
  <si>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</si>
  <si>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</si>
  <si>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</si>
  <si>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</si>
  <si>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</si>
  <si>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</si>
  <si>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</si>
  <si>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</si>
  <si>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</si>
  <si>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</si>
  <si>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</si>
  <si>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</si>
  <si>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</si>
  <si>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</si>
  <si>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</si>
  <si>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</si>
  <si>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</si>
  <si>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</si>
  <si>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</si>
  <si>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</si>
  <si>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</si>
  <si>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</si>
  <si>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</si>
  <si>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</si>
  <si>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</si>
  <si>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</si>
  <si>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</si>
  <si>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</si>
  <si>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</si>
  <si>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</si>
  <si>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</si>
  <si>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</si>
  <si>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</si>
  <si>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</si>
  <si>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</si>
  <si>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</si>
  <si>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</si>
  <si>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</si>
  <si>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</si>
  <si>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</si>
  <si>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</si>
  <si>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</si>
  <si>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</si>
  <si>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</si>
  <si>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</si>
  <si>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</si>
  <si>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</si>
  <si>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</si>
  <si>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</si>
  <si>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</si>
  <si>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</si>
  <si>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</si>
  <si>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</si>
  <si>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</si>
  <si>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</si>
  <si>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</si>
  <si>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</si>
  <si>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</si>
  <si>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</si>
  <si>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</si>
  <si>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</si>
  <si>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</si>
  <si>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</si>
  <si>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</si>
  <si>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</si>
  <si>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</si>
  <si>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</si>
  <si>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</si>
  <si>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</si>
  <si>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</si>
  <si>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</si>
  <si>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</si>
  <si>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</si>
  <si>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</si>
  <si>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</si>
  <si>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</si>
  <si>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</si>
  <si>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</si>
  <si>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</si>
  <si>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</si>
  <si>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</si>
  <si>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</si>
  <si>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</si>
  <si>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</si>
  <si>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</si>
  <si>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</si>
  <si>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</si>
  <si>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</si>
  <si>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</si>
  <si>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</si>
  <si>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</si>
  <si>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</si>
  <si>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</si>
  <si>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</si>
  <si>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</si>
  <si>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</si>
  <si>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</si>
  <si>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</si>
  <si>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</si>
  <si>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</si>
  <si>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</si>
  <si>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</si>
  <si>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</si>
  <si>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</si>
  <si>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</si>
  <si>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</si>
  <si>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</si>
  <si>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</si>
  <si>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</si>
  <si>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</si>
  <si>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</si>
  <si>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</si>
  <si>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</si>
  <si>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</si>
  <si>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</si>
  <si>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</si>
  <si>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</si>
  <si>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</si>
  <si>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</si>
  <si>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</si>
  <si>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</si>
  <si>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</si>
  <si>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</si>
  <si>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</si>
  <si>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</si>
  <si>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</si>
  <si>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</si>
  <si>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</si>
  <si>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</si>
  <si>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</si>
  <si>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</si>
  <si>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</si>
  <si>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</si>
  <si>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</si>
  <si>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</si>
  <si>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</si>
  <si>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</si>
  <si>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</si>
  <si>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</si>
  <si>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</si>
  <si>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</si>
  <si>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</si>
  <si>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</si>
  <si>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</si>
  <si>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</si>
  <si>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</si>
  <si>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</si>
  <si>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</si>
  <si>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</si>
  <si>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</si>
  <si>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</si>
  <si>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</si>
  <si>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</si>
  <si>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</si>
  <si>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</si>
  <si>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</si>
  <si>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</si>
  <si>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</si>
  <si>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</si>
  <si>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</si>
  <si>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</si>
  <si>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</si>
  <si>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</si>
  <si>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</si>
  <si>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</si>
  <si>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</si>
  <si>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</si>
  <si>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</si>
  <si>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</si>
  <si>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</si>
  <si>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</si>
  <si>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</si>
  <si>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</si>
  <si>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</si>
  <si>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</si>
  <si>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</si>
  <si>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</si>
  <si>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</si>
  <si>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</si>
  <si>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</si>
  <si>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</si>
  <si>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</si>
  <si>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</si>
  <si>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</si>
  <si>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</si>
  <si>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</si>
  <si>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</si>
  <si>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</si>
  <si>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</si>
  <si>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</si>
  <si>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</si>
  <si>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</si>
  <si>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</si>
  <si>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</si>
  <si>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</si>
  <si>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</si>
  <si>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</si>
  <si>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</si>
  <si>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</si>
  <si>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</si>
  <si>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</si>
  <si>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</si>
  <si>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</si>
  <si>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</si>
  <si>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</si>
  <si>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</si>
  <si>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</si>
  <si>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</si>
  <si>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</si>
  <si>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</si>
  <si>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</si>
  <si>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</si>
  <si>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</si>
  <si>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</si>
  <si>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</si>
  <si>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</si>
  <si>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</si>
  <si>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</si>
  <si>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</si>
  <si>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</si>
  <si>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</si>
  <si>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</si>
  <si>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</si>
  <si>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</si>
  <si>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</si>
  <si>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</si>
  <si>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</si>
  <si>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</si>
  <si>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</si>
  <si>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</si>
  <si>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</si>
  <si>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</si>
  <si>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</si>
  <si>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</si>
  <si>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</si>
  <si>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</si>
  <si>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</si>
  <si>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</si>
  <si>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</si>
  <si>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</si>
  <si>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</si>
  <si>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</si>
  <si>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</si>
  <si>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</si>
  <si>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</si>
  <si>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</si>
  <si>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</si>
  <si>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</si>
  <si>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</si>
  <si>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</si>
  <si>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</si>
  <si>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</si>
  <si>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</si>
  <si>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</si>
  <si>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</si>
  <si>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</si>
  <si>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</si>
  <si>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</si>
  <si>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</si>
  <si>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</si>
  <si>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</si>
  <si>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</si>
  <si>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</si>
  <si>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</si>
  <si>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</si>
  <si>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</si>
  <si>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</si>
  <si>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</si>
  <si>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</si>
  <si>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</si>
  <si>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</si>
  <si>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</si>
  <si>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</si>
  <si>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</si>
  <si>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</si>
  <si>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</si>
  <si>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</si>
  <si>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</si>
  <si>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</si>
  <si>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</si>
  <si>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</si>
  <si>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</si>
  <si>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</si>
  <si>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</si>
  <si>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</si>
  <si>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</si>
  <si>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</si>
  <si>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</si>
  <si>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</si>
  <si>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</si>
  <si>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</si>
  <si>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</si>
  <si>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</si>
  <si>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</si>
  <si>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</si>
  <si>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</si>
  <si>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</si>
  <si>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</si>
  <si>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</si>
  <si>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</si>
  <si>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</si>
  <si>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</si>
  <si>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</si>
  <si>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</si>
  <si>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</si>
  <si>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</si>
  <si>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</si>
  <si>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</si>
  <si>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</si>
  <si>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</si>
  <si>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</si>
  <si>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</si>
  <si>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</si>
  <si>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</si>
  <si>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</si>
  <si>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</si>
  <si>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</si>
  <si>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</si>
  <si>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</si>
  <si>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</si>
  <si>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</si>
  <si>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</si>
  <si>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</si>
  <si>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</si>
  <si>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</si>
  <si>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</si>
  <si>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</si>
  <si>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</si>
  <si>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</si>
  <si>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</si>
  <si>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</si>
  <si>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</si>
  <si>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</si>
  <si>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</si>
  <si>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</si>
  <si>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</si>
  <si>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</si>
  <si>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</si>
  <si>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</si>
  <si>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</si>
  <si>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</si>
  <si>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</si>
  <si>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</si>
  <si>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</si>
  <si>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</si>
  <si>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</si>
  <si>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</si>
  <si>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</si>
  <si>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</si>
  <si>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</si>
  <si>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</si>
  <si>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</si>
  <si>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</si>
  <si>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</si>
  <si>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</si>
  <si>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</si>
  <si>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</si>
  <si>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</si>
  <si>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</si>
  <si>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</si>
  <si>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</si>
  <si>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</si>
  <si>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</si>
  <si>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</si>
  <si>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</si>
  <si>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</si>
  <si>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</si>
  <si>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</si>
  <si>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</si>
  <si>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</si>
  <si>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</si>
  <si>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</si>
  <si>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</si>
  <si>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</si>
  <si>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</si>
  <si>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</si>
  <si>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</si>
  <si>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</si>
  <si>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</si>
  <si>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</si>
  <si>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</si>
  <si>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</si>
  <si>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</si>
  <si>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</si>
  <si>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</si>
  <si>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</si>
  <si>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</si>
  <si>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</si>
  <si>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</si>
  <si>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</si>
  <si>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</si>
  <si>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</si>
  <si>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</si>
  <si>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</si>
  <si>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</si>
  <si>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</si>
  <si>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</si>
  <si>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</si>
  <si>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</si>
  <si>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</si>
  <si>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</si>
  <si>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</si>
  <si>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</si>
  <si>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</si>
  <si>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</si>
  <si>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</si>
  <si>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</si>
  <si>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</si>
  <si>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</si>
  <si>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</si>
  <si>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</si>
  <si>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</si>
  <si>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</si>
  <si>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</si>
  <si>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</si>
  <si>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</si>
  <si>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</si>
  <si>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</si>
  <si>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</si>
  <si>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</si>
  <si>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</si>
  <si>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</si>
  <si>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</si>
  <si>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</si>
  <si>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</si>
  <si>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</si>
  <si>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</si>
  <si>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</si>
  <si>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</si>
  <si>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</si>
  <si>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</si>
  <si>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</si>
  <si>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</si>
  <si>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</si>
  <si>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</si>
  <si>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</si>
  <si>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</si>
  <si>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</si>
  <si>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</si>
  <si>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</si>
  <si>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</si>
  <si>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</si>
  <si>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</si>
  <si>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</si>
  <si>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</si>
  <si>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</si>
  <si>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</si>
  <si>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</si>
  <si>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</si>
  <si>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</si>
  <si>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</si>
  <si>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</si>
  <si>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</si>
  <si>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</si>
  <si>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</si>
  <si>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</si>
  <si>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</si>
  <si>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</si>
  <si>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</si>
  <si>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</si>
  <si>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</si>
  <si>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</si>
  <si>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</si>
  <si>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</si>
  <si>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</si>
  <si>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</si>
  <si>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</si>
  <si>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</si>
  <si>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</si>
  <si>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</si>
  <si>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</si>
  <si>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</si>
  <si>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</si>
  <si>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</si>
  <si>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</si>
  <si>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</si>
  <si>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</si>
  <si>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</si>
  <si>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</si>
  <si>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</si>
  <si>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</si>
  <si>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</si>
  <si>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</si>
  <si>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</si>
  <si>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</si>
  <si>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</si>
  <si>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</si>
  <si>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</si>
  <si>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</si>
  <si>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</si>
  <si>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</si>
  <si>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</si>
  <si>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</si>
  <si>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</si>
  <si>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</si>
  <si>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</si>
  <si>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</si>
  <si>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</si>
  <si>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</si>
  <si>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</si>
  <si>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</si>
  <si>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</si>
  <si>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</si>
  <si>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</si>
  <si>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</si>
  <si>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</si>
  <si>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</si>
  <si>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</si>
  <si>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</si>
  <si>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</si>
  <si>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</si>
  <si>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</si>
  <si>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</si>
  <si>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</si>
  <si>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</si>
  <si>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</si>
  <si>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</si>
  <si>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</si>
  <si>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</si>
  <si>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</si>
  <si>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</si>
  <si>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</si>
  <si>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</si>
  <si>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</si>
  <si>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</si>
  <si>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</si>
  <si>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</si>
  <si>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</si>
  <si>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</si>
  <si>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</si>
  <si>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</si>
  <si>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</si>
  <si>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</si>
  <si>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</si>
  <si>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</si>
  <si>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</si>
  <si>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</si>
  <si>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</si>
  <si>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</si>
  <si>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</si>
  <si>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</si>
  <si>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</si>
  <si>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</si>
  <si>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</si>
  <si>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</si>
  <si>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</si>
  <si>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</si>
  <si>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</si>
  <si>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</si>
  <si>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</si>
  <si>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</si>
  <si>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</si>
  <si>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</si>
  <si>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</si>
  <si>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</si>
  <si>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</si>
  <si>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</si>
  <si>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</si>
  <si>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</si>
  <si>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</si>
  <si>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</si>
  <si>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</si>
  <si>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</si>
  <si>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</si>
  <si>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</si>
  <si>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</si>
  <si>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</si>
  <si>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</si>
  <si>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</si>
  <si>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</si>
  <si>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</si>
  <si>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</si>
  <si>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</si>
  <si>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</si>
  <si>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</si>
  <si>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</si>
  <si>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</si>
  <si>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</si>
  <si>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</si>
  <si>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</si>
  <si>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</si>
  <si>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</si>
  <si>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</si>
  <si>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</si>
  <si>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</si>
  <si>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</si>
  <si>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</si>
  <si>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</si>
  <si>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</si>
  <si>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</si>
  <si>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</si>
  <si>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</si>
  <si>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</si>
  <si>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</si>
  <si>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</si>
  <si>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</si>
  <si>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</si>
  <si>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</si>
  <si>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</si>
  <si>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</si>
  <si>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</si>
  <si>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</si>
  <si>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</si>
  <si>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</si>
  <si>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</si>
  <si>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</si>
  <si>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</si>
  <si>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</si>
  <si>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</si>
  <si>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</si>
  <si>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</si>
  <si>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</si>
  <si>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</si>
  <si>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</si>
  <si>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</si>
  <si>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</si>
  <si>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</si>
  <si>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</si>
  <si>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</si>
  <si>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</si>
  <si>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</si>
  <si>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</si>
  <si>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</si>
  <si>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</si>
  <si>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</si>
  <si>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</si>
  <si>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</si>
  <si>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</si>
  <si>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</si>
  <si>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</si>
  <si>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</si>
  <si>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</si>
  <si>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</si>
  <si>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</si>
  <si>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</si>
  <si>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</si>
  <si>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</si>
  <si>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</si>
  <si>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</si>
  <si>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</si>
  <si>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</si>
  <si>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</si>
  <si>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</si>
  <si>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</si>
  <si>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</si>
  <si>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</si>
  <si>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</si>
  <si>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</si>
  <si>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</si>
  <si>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</si>
  <si>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</si>
  <si>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</si>
  <si>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</si>
  <si>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</si>
  <si>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</si>
  <si>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</si>
  <si>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</si>
  <si>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</si>
  <si>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</si>
  <si>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</si>
  <si>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</si>
  <si>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</si>
  <si>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</si>
  <si>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</si>
  <si>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</si>
  <si>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</si>
  <si>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</si>
  <si>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</si>
  <si>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</si>
  <si>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</si>
  <si>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</si>
  <si>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</si>
  <si>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</si>
  <si>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</si>
  <si>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</si>
  <si>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</si>
  <si>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</si>
  <si>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</si>
  <si>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</si>
  <si>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</si>
  <si>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</si>
  <si>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</si>
  <si>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</si>
  <si>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</si>
  <si>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</si>
  <si>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</si>
  <si>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</si>
  <si>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</si>
  <si>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</si>
  <si>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</si>
  <si>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</si>
  <si>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</si>
  <si>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</si>
  <si>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</si>
  <si>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</si>
  <si>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</si>
  <si>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</si>
  <si>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</si>
  <si>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</si>
  <si>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</si>
  <si>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</si>
  <si>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</si>
  <si>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</si>
  <si>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</si>
  <si>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</si>
  <si>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</si>
  <si>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</si>
  <si>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</si>
  <si>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</si>
  <si>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</si>
  <si>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</si>
  <si>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</si>
  <si>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</si>
  <si>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</si>
  <si>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</si>
  <si>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</si>
  <si>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</si>
  <si>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</si>
  <si>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</si>
  <si>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</si>
  <si>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</si>
  <si>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</si>
  <si>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</si>
  <si>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</si>
  <si>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</si>
  <si>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</si>
  <si>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</si>
  <si>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</si>
  <si>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</si>
  <si>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</si>
  <si>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</si>
  <si>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</si>
  <si>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</si>
  <si>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</si>
  <si>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</si>
  <si>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</si>
  <si>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</si>
  <si>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</si>
  <si>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</si>
  <si>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</si>
  <si>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</si>
  <si>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</si>
  <si>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</si>
  <si>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</si>
  <si>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</si>
  <si>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</si>
  <si>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</si>
  <si>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</si>
  <si>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</si>
  <si>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</si>
  <si>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</si>
  <si>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</si>
  <si>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</si>
  <si>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</si>
  <si>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</si>
  <si>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</si>
  <si>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</si>
  <si>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</si>
  <si>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</si>
  <si>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</si>
  <si>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</si>
  <si>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</si>
  <si>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</si>
  <si>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</si>
  <si>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</si>
  <si>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</si>
  <si>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</si>
  <si>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</si>
  <si>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</si>
  <si>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</si>
  <si>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</si>
  <si>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</si>
  <si>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</si>
  <si>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</si>
  <si>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</si>
  <si>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</si>
  <si>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</si>
  <si>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</si>
  <si>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</si>
  <si>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</si>
  <si>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</si>
  <si>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</si>
  <si>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</si>
  <si>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</si>
  <si>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</si>
  <si>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</si>
  <si>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</si>
  <si>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</si>
  <si>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</si>
  <si>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</si>
  <si>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</si>
  <si>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</si>
  <si>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</si>
  <si>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</si>
  <si>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</si>
  <si>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</si>
  <si>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</si>
  <si>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</si>
  <si>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</si>
  <si>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</si>
  <si>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</si>
  <si>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</si>
  <si>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</si>
  <si>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</si>
  <si>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</si>
  <si>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</si>
  <si>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</si>
  <si>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</si>
  <si>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</si>
  <si>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</si>
  <si>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</si>
  <si>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</si>
  <si>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</si>
  <si>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</si>
  <si>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</si>
  <si>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</si>
  <si>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</si>
  <si>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</si>
  <si>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</si>
  <si>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</si>
  <si>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</si>
  <si>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</si>
  <si>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</si>
  <si>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</si>
  <si>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</si>
  <si>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</si>
  <si>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</si>
  <si>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</si>
  <si>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</si>
  <si>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</si>
  <si>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</si>
  <si>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</si>
  <si>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</si>
  <si>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</si>
  <si>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</si>
  <si>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</si>
  <si>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</si>
  <si>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</si>
  <si>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</si>
  <si>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</si>
  <si>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</si>
  <si>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</si>
  <si>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</si>
  <si>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</si>
  <si>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</si>
  <si>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</si>
  <si>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</si>
  <si>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</si>
  <si>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</si>
  <si>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</si>
  <si>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</si>
  <si>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</si>
  <si>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</si>
  <si>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</si>
  <si>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</si>
  <si>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</si>
  <si>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</si>
  <si>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</si>
  <si>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</si>
  <si>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</si>
  <si>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</si>
  <si>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</si>
  <si>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</si>
  <si>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</si>
  <si>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</si>
  <si>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</si>
  <si>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</si>
  <si>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</si>
  <si>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</si>
  <si>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</si>
  <si>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</si>
  <si>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</si>
  <si>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</si>
  <si>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</si>
  <si>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</si>
  <si>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</si>
  <si>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</si>
  <si>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</si>
  <si>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</si>
  <si>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</si>
  <si>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</si>
  <si>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</si>
  <si>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</si>
  <si>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</si>
  <si>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</si>
  <si>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</si>
  <si>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</si>
  <si>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</si>
  <si>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</si>
  <si>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</si>
  <si>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</si>
  <si>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</si>
  <si>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</si>
  <si>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</si>
  <si>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</si>
  <si>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</si>
  <si>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</si>
  <si>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</si>
  <si>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</si>
  <si>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</si>
  <si>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</si>
  <si>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</si>
  <si>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</si>
  <si>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</si>
  <si>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</si>
  <si>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</si>
  <si>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</si>
  <si>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</si>
  <si>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</si>
  <si>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</si>
  <si>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</si>
  <si>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</si>
  <si>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</si>
  <si>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</si>
  <si>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</si>
  <si>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</si>
  <si>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</si>
  <si>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</si>
  <si>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</si>
  <si>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</si>
  <si>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</si>
  <si>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</si>
  <si>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</si>
  <si>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</si>
  <si>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</si>
  <si>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</si>
  <si>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</si>
  <si>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</si>
  <si>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</si>
  <si>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</si>
  <si>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</si>
  <si>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</si>
  <si>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</si>
  <si>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</si>
  <si>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</si>
  <si>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</si>
  <si>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</si>
  <si>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</si>
  <si>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</si>
  <si>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</si>
  <si>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</si>
  <si>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</si>
  <si>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</si>
  <si>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</si>
  <si>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</si>
  <si>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</si>
  <si>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</si>
  <si>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</si>
  <si>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</si>
  <si>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</si>
  <si>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</si>
  <si>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</si>
  <si>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</si>
  <si>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</si>
  <si>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</si>
  <si>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</si>
  <si>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</si>
  <si>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</si>
  <si>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</si>
  <si>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</si>
  <si>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</si>
  <si>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</si>
  <si>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</si>
  <si>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</si>
  <si>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</si>
  <si>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</si>
  <si>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</si>
  <si>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</si>
  <si>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</si>
  <si>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</si>
  <si>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</si>
  <si>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</si>
  <si>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</si>
  <si>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</si>
  <si>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</si>
  <si>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</si>
  <si>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</si>
  <si>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</si>
  <si>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</si>
  <si>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</si>
  <si>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</si>
  <si>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</si>
  <si>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</si>
  <si>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</si>
  <si>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</si>
  <si>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</si>
  <si>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</si>
  <si>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</si>
  <si>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</si>
  <si>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</si>
  <si>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</si>
  <si>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</si>
  <si>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</si>
  <si>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</si>
  <si>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</si>
  <si>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</si>
  <si>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</si>
  <si>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</si>
  <si>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</si>
  <si>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</si>
  <si>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</si>
  <si>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</si>
  <si>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</si>
  <si>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</si>
  <si>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</si>
  <si>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</si>
  <si>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</si>
  <si>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</si>
  <si>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</si>
  <si>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</si>
  <si>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</si>
  <si>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</si>
  <si>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</si>
  <si>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</si>
  <si>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</si>
  <si>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</si>
  <si>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</si>
  <si>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</si>
  <si>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</si>
  <si>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</si>
  <si>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</si>
  <si>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</si>
  <si>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</si>
  <si>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</si>
  <si>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</si>
  <si>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</si>
  <si>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</si>
  <si>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</si>
  <si>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</si>
  <si>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</si>
  <si>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</si>
  <si>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</si>
  <si>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</si>
  <si>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</si>
  <si>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</si>
  <si>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</si>
  <si>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</si>
  <si>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</si>
  <si>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</si>
  <si>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</si>
  <si>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</si>
  <si>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</si>
  <si>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</si>
  <si>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</si>
  <si>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</si>
  <si>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</si>
  <si>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</si>
  <si>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</si>
  <si>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</si>
  <si>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</si>
  <si>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</si>
  <si>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</si>
  <si>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</si>
  <si>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</si>
  <si>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</si>
  <si>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</si>
  <si>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</si>
  <si>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</si>
  <si>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</si>
  <si>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</si>
  <si>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</si>
  <si>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</si>
  <si>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</si>
  <si>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</si>
  <si>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</si>
  <si>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</si>
  <si>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</si>
  <si>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</si>
  <si>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</si>
  <si>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</si>
  <si>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</si>
  <si>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</si>
  <si>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</si>
  <si>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</si>
  <si>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</si>
  <si>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</si>
  <si>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</si>
  <si>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</si>
  <si>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</si>
  <si>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</si>
  <si>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</si>
  <si>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</si>
  <si>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</si>
  <si>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</si>
  <si>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</si>
  <si>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</si>
  <si>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</si>
  <si>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</si>
  <si>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</si>
  <si>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</si>
  <si>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</si>
  <si>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</si>
  <si>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</si>
  <si>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</si>
  <si>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</si>
  <si>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</si>
  <si>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</si>
  <si>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</si>
  <si>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</si>
  <si>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</si>
  <si>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</si>
  <si>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</si>
  <si>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</si>
  <si>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</si>
  <si>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</si>
  <si>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</si>
  <si>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</si>
  <si>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</si>
  <si>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</si>
  <si>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</si>
  <si>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</si>
  <si>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</si>
  <si>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</si>
  <si>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</si>
  <si>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</si>
  <si>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</si>
  <si>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</si>
  <si>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</si>
  <si>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</si>
  <si>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</si>
  <si>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</si>
  <si>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</si>
  <si>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</si>
  <si>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</si>
  <si>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</si>
  <si>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</si>
  <si>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</si>
  <si>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</si>
  <si>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</si>
  <si>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</si>
  <si>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</si>
  <si>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</si>
  <si>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</si>
  <si>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</si>
  <si>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</si>
  <si>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</si>
  <si>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</si>
  <si>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</si>
  <si>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</si>
  <si>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</si>
  <si>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</si>
  <si>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</si>
  <si>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</si>
  <si>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</si>
  <si>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</si>
  <si>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</si>
  <si>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</si>
  <si>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</si>
  <si>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</si>
  <si>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</si>
  <si>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</si>
  <si>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</si>
  <si>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</si>
  <si>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</si>
  <si>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</si>
  <si>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</si>
  <si>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</si>
  <si>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</si>
  <si>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</si>
  <si>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</si>
  <si>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</si>
  <si>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</si>
  <si>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</si>
  <si>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</si>
  <si>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</si>
  <si>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</si>
  <si>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</si>
  <si>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</si>
  <si>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</si>
  <si>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</si>
  <si>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</si>
  <si>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</si>
  <si>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</si>
  <si>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</si>
  <si>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</si>
  <si>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</si>
  <si>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</si>
  <si>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</si>
  <si>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</si>
  <si>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</si>
  <si>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</si>
  <si>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</si>
  <si>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</si>
  <si>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</si>
  <si>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</si>
  <si>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</si>
  <si>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</si>
  <si>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</si>
  <si>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</si>
  <si>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</si>
  <si>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</si>
  <si>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</si>
  <si>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</si>
  <si>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</si>
  <si>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</si>
  <si>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</si>
  <si>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</si>
  <si>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</si>
  <si>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</si>
  <si>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</si>
  <si>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</si>
  <si>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</si>
  <si>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</si>
  <si>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</si>
  <si>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</si>
  <si>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</si>
  <si>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</si>
  <si>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</si>
  <si>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</si>
  <si>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</si>
  <si>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</si>
  <si>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</si>
  <si>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</si>
  <si>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</si>
  <si>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</si>
  <si>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</si>
  <si>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</si>
  <si>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</si>
  <si>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</si>
  <si>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</si>
  <si>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</si>
  <si>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</si>
  <si>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</si>
  <si>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</si>
  <si>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</si>
  <si>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</si>
  <si>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</si>
  <si>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</si>
  <si>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</si>
  <si>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</si>
  <si>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</si>
  <si>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</si>
  <si>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</si>
  <si>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</si>
  <si>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</si>
  <si>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</si>
  <si>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</si>
  <si>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</si>
  <si>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</si>
  <si>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</si>
  <si>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</si>
  <si>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</si>
  <si>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</si>
  <si>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</si>
  <si>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</si>
  <si>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</si>
  <si>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</si>
  <si>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</si>
  <si>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</si>
  <si>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</si>
  <si>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</si>
  <si>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</si>
  <si>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</si>
  <si>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</si>
  <si>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</si>
  <si>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</si>
  <si>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</si>
  <si>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</si>
  <si>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</si>
  <si>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</si>
  <si>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</si>
  <si>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</si>
  <si>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</si>
  <si>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</si>
  <si>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</si>
  <si>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</si>
  <si>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</si>
  <si>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</si>
  <si>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</si>
  <si>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</si>
  <si>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</si>
  <si>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</si>
  <si>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</si>
  <si>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</si>
  <si>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</si>
  <si>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</si>
  <si>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</si>
  <si>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</si>
  <si>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</si>
  <si>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</si>
  <si>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</si>
  <si>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</si>
  <si>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</si>
  <si>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</si>
  <si>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</si>
  <si>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</si>
  <si>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</si>
  <si>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</si>
  <si>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</si>
  <si>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</si>
  <si>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</si>
  <si>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</si>
  <si>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</si>
  <si>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</si>
  <si>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</si>
  <si>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</si>
  <si>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</si>
  <si>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</si>
  <si>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</si>
  <si>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</si>
  <si>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</si>
  <si>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</si>
  <si>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</si>
  <si>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</si>
  <si>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</si>
  <si>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</si>
  <si>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</si>
  <si>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</si>
  <si>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</si>
  <si>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</si>
  <si>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</si>
  <si>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</si>
  <si>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</si>
  <si>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</si>
  <si>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</si>
  <si>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</si>
  <si>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</si>
  <si>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</si>
  <si>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</si>
  <si>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</si>
  <si>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</si>
  <si>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</si>
  <si>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</si>
  <si>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</si>
  <si>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</si>
  <si>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</si>
  <si>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</si>
  <si>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</si>
  <si>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</si>
  <si>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</si>
  <si>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</si>
  <si>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</si>
  <si>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</si>
  <si>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</si>
  <si>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</si>
  <si>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</si>
  <si>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</si>
  <si>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</si>
  <si>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</si>
  <si>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</si>
  <si>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</si>
  <si>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</si>
  <si>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</si>
  <si>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</si>
  <si>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</si>
  <si>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</si>
  <si>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</si>
  <si>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</si>
  <si>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</si>
  <si>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</si>
  <si>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</si>
  <si>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</si>
  <si>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</si>
  <si>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</si>
  <si>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</si>
  <si>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</si>
  <si>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</si>
  <si>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</si>
  <si>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</si>
  <si>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</si>
  <si>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</si>
  <si>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</si>
  <si>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</si>
  <si>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</si>
  <si>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</si>
  <si>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</si>
  <si>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</si>
  <si>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</si>
  <si>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</si>
  <si>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</si>
  <si>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</si>
  <si>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</si>
  <si>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</si>
  <si>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</si>
  <si>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</si>
  <si>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</si>
  <si>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</si>
  <si>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</si>
  <si>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</si>
  <si>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</si>
  <si>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</si>
  <si>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</si>
  <si>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</si>
  <si>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</si>
  <si>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</si>
  <si>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</si>
  <si>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</si>
  <si>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</si>
  <si>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</si>
  <si>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</si>
  <si>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</si>
  <si>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</si>
  <si>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</si>
  <si>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</si>
  <si>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</si>
  <si>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</si>
  <si>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</si>
  <si>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</si>
  <si>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</si>
  <si>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</si>
  <si>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</si>
  <si>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</si>
  <si>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</si>
  <si>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</si>
  <si>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</si>
  <si>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</si>
  <si>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</si>
  <si>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</si>
  <si>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</si>
  <si>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</si>
  <si>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</si>
  <si>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</si>
  <si>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</si>
  <si>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</si>
  <si>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</si>
  <si>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</si>
  <si>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</si>
  <si>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</si>
  <si>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</si>
  <si>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</si>
  <si>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</si>
  <si>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</si>
  <si>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</si>
  <si>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</si>
  <si>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</si>
  <si>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</si>
  <si>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</si>
  <si>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</si>
  <si>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</si>
  <si>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</si>
  <si>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</si>
  <si>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</si>
  <si>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</si>
  <si>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</si>
  <si>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</si>
  <si>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</si>
  <si>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</si>
  <si>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</si>
  <si>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</si>
  <si>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</si>
  <si>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</si>
  <si>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</si>
  <si>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</si>
  <si>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</si>
  <si>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</si>
  <si>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</si>
  <si>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</si>
  <si>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</si>
  <si>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</si>
  <si>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</si>
  <si>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</si>
  <si>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</si>
  <si>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</si>
  <si>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</si>
  <si>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</si>
  <si>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</si>
  <si>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</si>
  <si>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</si>
  <si>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</si>
  <si>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</si>
  <si>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</si>
  <si>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</si>
  <si>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</si>
  <si>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</si>
  <si>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</si>
  <si>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</si>
  <si>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</si>
  <si>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</si>
  <si>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</si>
  <si>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</si>
  <si>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</si>
  <si>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</si>
  <si>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</si>
  <si>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</si>
  <si>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</si>
  <si>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</si>
  <si>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</si>
  <si>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</si>
  <si>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</si>
  <si>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</si>
  <si>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</si>
  <si>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</si>
  <si>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</si>
  <si>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</si>
  <si>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</si>
  <si>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</si>
  <si>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</si>
  <si>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</si>
  <si>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</si>
  <si>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</si>
  <si>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</si>
  <si>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</si>
  <si>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</si>
  <si>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</si>
  <si>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</si>
  <si>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</si>
  <si>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</si>
  <si>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</si>
  <si>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</si>
  <si>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</si>
  <si>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</si>
  <si>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</si>
  <si>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</si>
  <si>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</si>
  <si>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</si>
  <si>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</si>
  <si>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</si>
  <si>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</si>
  <si>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</si>
  <si>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</si>
  <si>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</si>
  <si>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</si>
  <si>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</si>
  <si>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</si>
  <si>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</si>
  <si>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</si>
  <si>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</si>
  <si>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</si>
  <si>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</si>
  <si>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</si>
  <si>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</si>
  <si>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</si>
  <si>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</si>
  <si>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</si>
  <si>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</si>
  <si>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</si>
  <si>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</si>
  <si>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</si>
  <si>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</si>
  <si>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</si>
  <si>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</si>
  <si>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</si>
  <si>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</si>
  <si>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</si>
  <si>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</si>
  <si>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</si>
  <si>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</si>
  <si>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</si>
  <si>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</si>
  <si>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</si>
  <si>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</si>
  <si>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</si>
  <si>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</si>
  <si>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</si>
  <si>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</si>
  <si>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</si>
  <si>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</si>
  <si>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</si>
  <si>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</si>
  <si>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</si>
  <si>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</si>
  <si>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</si>
  <si>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</si>
  <si>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</si>
  <si>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</si>
  <si>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</si>
  <si>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</si>
  <si>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</si>
  <si>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</si>
  <si>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</si>
  <si>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</si>
  <si>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</si>
  <si>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</si>
  <si>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</si>
  <si>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</si>
  <si>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</si>
  <si>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</si>
  <si>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</si>
  <si>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</si>
  <si>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</si>
  <si>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</si>
  <si>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</si>
  <si>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</si>
  <si>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</si>
  <si>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</si>
  <si>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</si>
  <si>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</si>
  <si>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</si>
  <si>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</si>
  <si>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</si>
  <si>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</si>
  <si>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</si>
  <si>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</si>
  <si>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</si>
  <si>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</si>
  <si>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</si>
  <si>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</si>
  <si>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</si>
  <si>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</si>
  <si>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</si>
  <si>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</si>
  <si>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</si>
  <si>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</si>
  <si>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</si>
  <si>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</si>
  <si>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</si>
  <si>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</si>
  <si>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</si>
  <si>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</si>
  <si>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</si>
  <si>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</si>
  <si>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</si>
  <si>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</si>
  <si>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</si>
  <si>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</si>
  <si>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</si>
  <si>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</si>
  <si>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</si>
  <si>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</si>
  <si>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</si>
  <si>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</si>
  <si>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</si>
  <si>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</si>
  <si>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</si>
  <si>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</si>
  <si>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</si>
  <si>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</si>
  <si>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</si>
  <si>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</si>
  <si>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</si>
  <si>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</si>
  <si>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</si>
  <si>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</si>
  <si>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</si>
  <si>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</si>
  <si>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</si>
  <si>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</si>
  <si>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</si>
  <si>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</si>
  <si>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</si>
  <si>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</si>
  <si>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</si>
  <si>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</si>
  <si>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</si>
  <si>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</si>
  <si>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</si>
  <si>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</si>
  <si>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</si>
  <si>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</si>
  <si>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</si>
  <si>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</si>
  <si>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</si>
  <si>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</si>
  <si>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</si>
  <si>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</si>
  <si>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</si>
  <si>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</si>
  <si>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</si>
  <si>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</si>
  <si>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</si>
  <si>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</si>
  <si>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</si>
  <si>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</si>
  <si>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</si>
  <si>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</si>
  <si>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</si>
  <si>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</si>
  <si>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</si>
  <si>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</si>
  <si>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</si>
  <si>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</si>
  <si>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</si>
  <si>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</si>
  <si>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</si>
  <si>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</si>
  <si>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</si>
  <si>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</si>
  <si>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</si>
  <si>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</si>
  <si>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</si>
  <si>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</si>
  <si>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</si>
  <si>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</si>
  <si>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</si>
  <si>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</si>
  <si>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</si>
  <si>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</si>
  <si>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</si>
  <si>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</si>
  <si>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</si>
  <si>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</si>
  <si>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</si>
  <si>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</si>
  <si>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</si>
  <si>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</si>
  <si>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</si>
  <si>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</si>
  <si>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</si>
  <si>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</si>
  <si>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</si>
  <si>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</si>
  <si>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</si>
  <si>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</si>
  <si>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</si>
  <si>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</si>
  <si>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</si>
  <si>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</si>
  <si>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</si>
  <si>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</si>
  <si>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</si>
  <si>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</si>
  <si>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</si>
  <si>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</si>
  <si>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</si>
  <si>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</si>
  <si>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</si>
  <si>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</si>
  <si>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</si>
  <si>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</si>
  <si>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</si>
  <si>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</si>
  <si>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</si>
  <si>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</si>
  <si>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</si>
  <si>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</si>
  <si>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</si>
  <si>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</si>
  <si>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</si>
  <si>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</si>
  <si>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</si>
  <si>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</si>
  <si>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</si>
  <si>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</si>
  <si>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</si>
  <si>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</si>
  <si>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</si>
  <si>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</si>
  <si>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</si>
  <si>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</si>
  <si>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</si>
  <si>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</si>
  <si>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</si>
  <si>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</si>
  <si>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</si>
  <si>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</si>
  <si>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</si>
  <si>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</si>
  <si>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</si>
  <si>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</si>
  <si>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</si>
  <si>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</si>
  <si>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</si>
  <si>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</si>
  <si>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</si>
  <si>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</si>
  <si>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</si>
  <si>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</si>
  <si>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</si>
  <si>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</si>
  <si>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</si>
  <si>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</si>
  <si>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</si>
  <si>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</si>
  <si>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</si>
  <si>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</si>
  <si>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</si>
  <si>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</si>
  <si>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</si>
  <si>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</si>
  <si>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</si>
  <si>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</si>
  <si>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</si>
  <si>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</si>
  <si>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</si>
  <si>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</si>
  <si>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</si>
  <si>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</si>
  <si>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</si>
  <si>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</si>
  <si>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</si>
  <si>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</si>
  <si>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</si>
  <si>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</si>
  <si>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</si>
  <si>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</si>
  <si>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</si>
  <si>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</si>
  <si>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</si>
  <si>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</si>
  <si>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</si>
  <si>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</si>
  <si>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</si>
  <si>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</si>
  <si>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</si>
  <si>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</si>
  <si>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</si>
  <si>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</si>
  <si>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</si>
  <si>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</si>
  <si>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</si>
  <si>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</si>
  <si>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</si>
  <si>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</si>
  <si>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</si>
  <si>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</si>
  <si>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</si>
  <si>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</si>
  <si>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</si>
  <si>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</si>
  <si>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</si>
  <si>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</si>
  <si>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</si>
  <si>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</si>
  <si>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</si>
  <si>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</si>
  <si>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</si>
  <si>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</si>
  <si>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</si>
  <si>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</si>
  <si>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</si>
  <si>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</si>
  <si>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</si>
  <si>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</si>
  <si>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</si>
  <si>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</si>
  <si>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</si>
  <si>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</si>
  <si>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</si>
  <si>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</si>
  <si>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</si>
  <si>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</si>
  <si>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</si>
  <si>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</si>
  <si>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</si>
  <si>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</si>
  <si>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</si>
  <si>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</si>
  <si>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</si>
  <si>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</si>
  <si>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</si>
  <si>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</si>
  <si>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</si>
  <si>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</si>
  <si>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</si>
  <si>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</si>
  <si>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</si>
  <si>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</si>
  <si>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</si>
  <si>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</si>
  <si>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</si>
  <si>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</si>
  <si>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</si>
  <si>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</si>
  <si>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</si>
  <si>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</si>
  <si>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</si>
  <si>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</si>
  <si>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</si>
  <si>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</si>
  <si>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</si>
  <si>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</si>
  <si>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</si>
  <si>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</si>
  <si>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</si>
  <si>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</si>
  <si>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</si>
  <si>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</si>
  <si>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</si>
  <si>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</si>
  <si>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</si>
  <si>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</si>
  <si>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</si>
  <si>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</si>
  <si>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</si>
  <si>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</si>
  <si>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</si>
  <si>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</si>
  <si>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</si>
  <si>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</si>
  <si>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</si>
  <si>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</si>
  <si>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</si>
  <si>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</si>
  <si>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</si>
  <si>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</si>
  <si>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</si>
  <si>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</si>
  <si>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</si>
  <si>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</si>
  <si>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</si>
  <si>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</si>
  <si>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</si>
  <si>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</si>
  <si>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</si>
  <si>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</si>
  <si>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</si>
  <si>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</si>
  <si>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</si>
  <si>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</si>
  <si>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</si>
  <si>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</si>
  <si>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</si>
  <si>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</si>
  <si>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</si>
  <si>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</si>
  <si>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</si>
  <si>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</si>
  <si>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</si>
  <si>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</si>
  <si>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</si>
  <si>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</si>
  <si>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</si>
  <si>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</si>
  <si>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</si>
  <si>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</si>
  <si>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</si>
  <si>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</si>
  <si>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</si>
  <si>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</si>
  <si>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</si>
  <si>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</si>
  <si>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</si>
  <si>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</si>
  <si>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</si>
  <si>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</si>
  <si>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</si>
  <si>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</si>
  <si>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</si>
  <si>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</si>
  <si>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</si>
  <si>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</si>
  <si>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</si>
  <si>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</si>
  <si>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</si>
  <si>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</si>
  <si>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</si>
  <si>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</si>
  <si>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</si>
  <si>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</si>
  <si>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</si>
  <si>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</si>
  <si>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</si>
  <si>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</si>
  <si>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</si>
  <si>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</si>
  <si>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</si>
  <si>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</si>
  <si>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</si>
  <si>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</si>
  <si>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</si>
  <si>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</si>
  <si>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</si>
  <si>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</si>
  <si>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</si>
  <si>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</si>
  <si>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</si>
  <si>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</si>
  <si>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</si>
  <si>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</si>
  <si>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</si>
  <si>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</si>
  <si>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</si>
  <si>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</si>
  <si>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</si>
  <si>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</si>
  <si>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</si>
  <si>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</si>
  <si>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</si>
  <si>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</si>
  <si>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</si>
  <si>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</si>
  <si>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</si>
  <si>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</si>
  <si>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</si>
  <si>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</si>
  <si>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</si>
  <si>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</si>
  <si>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</si>
  <si>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</si>
  <si>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</si>
  <si>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</si>
  <si>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</si>
  <si>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</si>
  <si>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</si>
  <si>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</si>
  <si>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</si>
  <si>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</si>
  <si>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</si>
  <si>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</si>
  <si>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</si>
  <si>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</si>
  <si>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</si>
  <si>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</si>
  <si>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</si>
  <si>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</si>
  <si>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</si>
  <si>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</si>
  <si>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</si>
  <si>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</si>
  <si>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</si>
  <si>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</si>
  <si>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</si>
  <si>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</si>
  <si>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</si>
  <si>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</si>
  <si>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</si>
  <si>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</si>
  <si>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</si>
  <si>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</si>
  <si>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</si>
  <si>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</si>
  <si>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</si>
  <si>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</si>
  <si>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</si>
  <si>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</si>
  <si>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</si>
  <si>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</si>
  <si>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</si>
  <si>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</si>
  <si>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</si>
  <si>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</si>
  <si>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</si>
  <si>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</si>
  <si>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</si>
  <si>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</si>
  <si>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</si>
  <si>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</si>
  <si>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</si>
  <si>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</si>
  <si>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</si>
  <si>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</si>
  <si>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</si>
  <si>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</si>
  <si>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</si>
  <si>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</si>
  <si>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</si>
  <si>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</si>
  <si>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</si>
  <si>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</si>
  <si>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</si>
  <si>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</si>
  <si>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</si>
  <si>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</si>
  <si>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</si>
  <si>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</si>
  <si>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</si>
  <si>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</si>
  <si>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</si>
  <si>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</si>
  <si>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</si>
  <si>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</si>
  <si>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</si>
  <si>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</si>
  <si>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</si>
  <si>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</si>
  <si>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</si>
  <si>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</si>
  <si>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</si>
  <si>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</si>
  <si>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</si>
  <si>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</si>
  <si>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</si>
  <si>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</si>
  <si>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</si>
  <si>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</si>
  <si>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</si>
  <si>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</si>
  <si>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</si>
  <si>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</si>
  <si>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</si>
  <si>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</si>
  <si>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</si>
  <si>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</si>
  <si>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</si>
  <si>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</si>
  <si>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</si>
  <si>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</si>
  <si>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</si>
  <si>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</si>
  <si>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</si>
  <si>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</si>
  <si>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</si>
  <si>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</si>
  <si>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</si>
  <si>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</si>
  <si>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</si>
  <si>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</si>
  <si>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</si>
  <si>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</si>
  <si>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</si>
  <si>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</si>
  <si>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</si>
  <si>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</si>
  <si>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</si>
  <si>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</si>
  <si>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</si>
  <si>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</si>
  <si>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</si>
  <si>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</si>
  <si>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</si>
  <si>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</si>
  <si>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</si>
  <si>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</si>
  <si>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</si>
  <si>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</si>
  <si>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</si>
  <si>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</si>
  <si>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</si>
  <si>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</si>
  <si>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</si>
  <si>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</si>
  <si>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</si>
  <si>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</si>
  <si>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</si>
  <si>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</si>
  <si>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</si>
  <si>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</si>
  <si>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</si>
  <si>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</si>
  <si>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</si>
  <si>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</si>
  <si>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</si>
  <si>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</si>
  <si>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</si>
  <si>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</si>
  <si>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</si>
  <si>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</si>
  <si>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</si>
  <si>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</si>
  <si>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</si>
  <si>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</si>
  <si>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</si>
  <si>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</si>
  <si>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</si>
  <si>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</si>
  <si>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</si>
  <si>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</si>
  <si>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</si>
  <si>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</si>
  <si>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</si>
  <si>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</si>
  <si>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</si>
  <si>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</si>
  <si>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</si>
  <si>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</si>
  <si>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</si>
  <si>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</si>
  <si>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</si>
  <si>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</si>
  <si>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</si>
  <si>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</si>
  <si>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</si>
  <si>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</si>
  <si>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</si>
  <si>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</si>
  <si>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</si>
  <si>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</si>
  <si>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</si>
  <si>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</si>
  <si>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</si>
  <si>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</si>
  <si>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</si>
  <si>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</si>
  <si>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</si>
  <si>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</si>
  <si>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</si>
  <si>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</si>
  <si>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</si>
  <si>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</si>
  <si>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</si>
  <si>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</si>
  <si>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</si>
  <si>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</si>
  <si>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</si>
  <si>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</si>
  <si>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</si>
  <si>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</si>
  <si>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</si>
  <si>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</si>
  <si>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</si>
  <si>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</si>
  <si>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</si>
  <si>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</si>
  <si>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</si>
  <si>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</si>
  <si>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</si>
  <si>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</si>
  <si>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</si>
  <si>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</si>
  <si>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</si>
  <si>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</si>
  <si>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</si>
  <si>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</si>
  <si>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</si>
  <si>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</si>
  <si>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</si>
  <si>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</si>
  <si>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</si>
  <si>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</si>
  <si>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</si>
  <si>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</si>
  <si>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</si>
  <si>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</si>
  <si>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</si>
  <si>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</si>
  <si>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</si>
  <si>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</si>
  <si>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</si>
  <si>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</si>
  <si>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</si>
  <si>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</si>
  <si>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</si>
  <si>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</si>
  <si>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</si>
  <si>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</si>
  <si>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</si>
  <si>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</si>
  <si>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</si>
  <si>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</si>
  <si>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</si>
  <si>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</si>
  <si>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</si>
  <si>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</si>
  <si>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</si>
  <si>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</si>
  <si>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</si>
  <si>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</si>
  <si>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</si>
  <si>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</si>
  <si>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</si>
  <si>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</si>
  <si>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</si>
  <si>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</si>
  <si>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</si>
  <si>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</si>
  <si>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</si>
  <si>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</si>
  <si>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</si>
  <si>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</si>
  <si>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</si>
  <si>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</si>
  <si>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</si>
  <si>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</si>
  <si>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</si>
  <si>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</si>
  <si>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</si>
  <si>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</si>
  <si>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</si>
  <si>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</si>
  <si>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</si>
  <si>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</si>
  <si>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</si>
  <si>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</si>
  <si>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</si>
  <si>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</si>
  <si>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</si>
  <si>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</si>
  <si>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</si>
  <si>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</si>
  <si>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</si>
  <si>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</si>
  <si>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</si>
  <si>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</si>
  <si>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</si>
  <si>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</si>
  <si>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</si>
  <si>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</si>
  <si>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</si>
  <si>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</si>
  <si>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</si>
  <si>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</si>
  <si>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</si>
  <si>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</si>
  <si>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</si>
  <si>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</si>
  <si>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</si>
  <si>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</si>
  <si>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</si>
  <si>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</si>
  <si>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</si>
  <si>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</si>
  <si>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</si>
  <si>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</si>
  <si>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</si>
  <si>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</si>
  <si>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</si>
  <si>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</si>
  <si>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</si>
  <si>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</si>
  <si>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</si>
  <si>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</si>
  <si>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</si>
  <si>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</si>
  <si>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</si>
  <si>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</si>
  <si>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</si>
  <si>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</si>
  <si>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</si>
  <si>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</si>
  <si>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</si>
  <si>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</si>
  <si>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</si>
  <si>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</si>
  <si>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</si>
  <si>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</si>
  <si>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</si>
  <si>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</si>
  <si>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</si>
  <si>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</si>
  <si>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</si>
  <si>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</si>
  <si>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</si>
  <si>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</si>
  <si>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</si>
  <si>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</si>
  <si>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</si>
  <si>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</si>
  <si>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</si>
  <si>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</si>
  <si>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</si>
  <si>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</si>
  <si>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</si>
  <si>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</si>
  <si>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</si>
  <si>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</si>
  <si>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</si>
  <si>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</si>
  <si>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</si>
  <si>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</si>
  <si>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</si>
  <si>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</si>
  <si>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</si>
  <si>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</si>
  <si>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</si>
  <si>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</si>
  <si>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</si>
  <si>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</si>
  <si>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</si>
  <si>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</si>
  <si>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</si>
  <si>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</si>
  <si>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</si>
  <si>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</si>
  <si>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</si>
  <si>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</si>
  <si>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</si>
  <si>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</si>
  <si>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</si>
  <si>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</si>
  <si>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</si>
  <si>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</si>
  <si>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</si>
  <si>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</si>
  <si>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</si>
  <si>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</si>
  <si>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</si>
  <si>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</si>
  <si>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</si>
  <si>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</si>
  <si>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</si>
  <si>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</si>
  <si>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</si>
  <si>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</si>
  <si>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</si>
  <si>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</si>
  <si>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</si>
  <si>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</si>
  <si>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</si>
  <si>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</si>
  <si>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</si>
  <si>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</si>
  <si>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</si>
  <si>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</si>
  <si>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</si>
  <si>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</si>
  <si>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</si>
  <si>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</si>
  <si>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</si>
  <si>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</si>
  <si>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</si>
  <si>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</si>
  <si>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</si>
  <si>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</si>
  <si>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</si>
  <si>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</si>
  <si>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</si>
  <si>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</si>
  <si>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</si>
  <si>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</si>
  <si>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</si>
  <si>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</si>
  <si>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</si>
  <si>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</si>
  <si>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</si>
  <si>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</si>
  <si>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</si>
  <si>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</si>
  <si>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</si>
  <si>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</si>
  <si>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</si>
  <si>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</si>
  <si>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</si>
  <si>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</si>
  <si>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</si>
  <si>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</si>
  <si>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</si>
  <si>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</si>
  <si>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</si>
  <si>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</si>
  <si>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</si>
  <si>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</si>
  <si>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</si>
  <si>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</si>
  <si>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</si>
  <si>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</si>
  <si>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</si>
  <si>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</si>
  <si>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</si>
  <si>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</si>
  <si>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</si>
  <si>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</si>
  <si>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</si>
  <si>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</si>
  <si>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</si>
  <si>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</si>
  <si>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</si>
  <si>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</si>
  <si>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</si>
  <si>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</si>
  <si>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</si>
  <si>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</si>
  <si>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</si>
  <si>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</si>
  <si>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</si>
  <si>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</si>
  <si>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</si>
  <si>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</si>
  <si>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</si>
  <si>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</si>
  <si>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</si>
  <si>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</si>
  <si>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</si>
  <si>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</si>
  <si>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</si>
  <si>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</si>
  <si>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</si>
  <si>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</si>
  <si>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</si>
  <si>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</si>
  <si>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</si>
  <si>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</si>
  <si>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</si>
  <si>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</si>
  <si>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</si>
  <si>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</si>
  <si>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</si>
  <si>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</si>
  <si>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</si>
  <si>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</si>
  <si>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</si>
  <si>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</si>
  <si>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</si>
  <si>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</si>
  <si>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</si>
  <si>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</si>
  <si>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</si>
  <si>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</si>
  <si>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</si>
  <si>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</si>
  <si>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</si>
  <si>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</si>
  <si>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</si>
  <si>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</si>
  <si>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</si>
  <si>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</si>
  <si>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</si>
  <si>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</si>
  <si>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</si>
  <si>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</si>
  <si>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</si>
  <si>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</si>
  <si>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</si>
  <si>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</si>
  <si>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</si>
  <si>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</si>
  <si>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</si>
  <si>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</si>
  <si>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</si>
  <si>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</si>
  <si>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</si>
  <si>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</si>
  <si>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</si>
  <si>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</si>
  <si>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</si>
  <si>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</si>
  <si>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</si>
  <si>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</si>
  <si>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</si>
  <si>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</si>
  <si>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</si>
  <si>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</si>
  <si>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</si>
  <si>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</si>
  <si>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</si>
  <si>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</si>
  <si>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</si>
  <si>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</si>
  <si>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</si>
  <si>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</si>
  <si>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</si>
  <si>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</si>
  <si>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</si>
  <si>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</si>
  <si>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</si>
  <si>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</si>
  <si>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</si>
  <si>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</si>
  <si>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</si>
  <si>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</si>
  <si>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</si>
  <si>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</si>
  <si>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</si>
  <si>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</si>
  <si>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</si>
  <si>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</si>
  <si>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</si>
  <si>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</si>
  <si>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</si>
  <si>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</si>
  <si>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</si>
  <si>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</si>
  <si>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</si>
  <si>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</si>
  <si>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</si>
  <si>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</si>
  <si>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</si>
  <si>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</si>
  <si>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</si>
  <si>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</si>
  <si>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</si>
  <si>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</si>
  <si>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</si>
  <si>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</si>
  <si>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</si>
  <si>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</si>
  <si>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</si>
  <si>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</si>
  <si>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</si>
  <si>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</si>
  <si>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</si>
  <si>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</si>
  <si>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</si>
  <si>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</si>
  <si>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</si>
  <si>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</si>
  <si>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</si>
  <si>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</si>
  <si>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</si>
  <si>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</si>
  <si>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</si>
  <si>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</si>
  <si>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</si>
  <si>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</si>
  <si>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</si>
  <si>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</si>
  <si>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</si>
  <si>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</si>
  <si>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</si>
  <si>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</si>
  <si>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</si>
  <si>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</si>
  <si>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</si>
  <si>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</si>
  <si>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</si>
  <si>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</si>
  <si>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</si>
  <si>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</si>
  <si>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</si>
  <si>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</si>
  <si>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</si>
  <si>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</si>
  <si>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</si>
  <si>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</si>
  <si>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</si>
  <si>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</si>
  <si>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</si>
  <si>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</si>
  <si>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</si>
  <si>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</si>
  <si>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</si>
  <si>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</si>
  <si>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</si>
  <si>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</si>
  <si>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</si>
  <si>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</si>
  <si>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</si>
  <si>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</si>
  <si>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</si>
  <si>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</si>
  <si>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</si>
  <si>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</si>
  <si>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</si>
  <si>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</si>
  <si>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</si>
  <si>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</si>
  <si>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</si>
  <si>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</si>
  <si>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</si>
  <si>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</si>
  <si>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</si>
  <si>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</si>
  <si>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</si>
  <si>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</si>
  <si>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</si>
  <si>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</si>
  <si>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</si>
  <si>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</si>
  <si>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</si>
  <si>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</si>
  <si>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</si>
  <si>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</si>
  <si>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</si>
  <si>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</si>
  <si>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</si>
  <si>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</si>
  <si>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</si>
  <si>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</si>
  <si>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</si>
  <si>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</si>
  <si>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</si>
  <si>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</si>
  <si>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</si>
  <si>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</si>
  <si>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</si>
  <si>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</si>
  <si>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</si>
  <si>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</si>
  <si>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</si>
  <si>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</si>
  <si>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</si>
  <si>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</si>
  <si>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</si>
  <si>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</si>
  <si>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</si>
  <si>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</si>
  <si>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</si>
  <si>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</si>
  <si>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</si>
  <si>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</si>
  <si>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</si>
  <si>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</si>
  <si>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</si>
  <si>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</si>
  <si>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</si>
  <si>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</si>
  <si>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</si>
  <si>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</si>
  <si>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</si>
  <si>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</si>
  <si>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</si>
  <si>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</si>
  <si>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</si>
  <si>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</si>
  <si>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</si>
  <si>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</si>
  <si>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</si>
  <si>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</si>
  <si>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</si>
  <si>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</si>
  <si>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</si>
  <si>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</si>
  <si>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</si>
  <si>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</si>
  <si>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</si>
  <si>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</si>
  <si>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</si>
  <si>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</si>
  <si>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</si>
  <si>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</si>
  <si>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</si>
  <si>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</si>
  <si>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</si>
  <si>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</si>
  <si>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</si>
  <si>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</si>
  <si>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</si>
  <si>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</si>
  <si>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</si>
  <si>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</si>
  <si>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</si>
  <si>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</si>
  <si>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</si>
  <si>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</si>
  <si>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</si>
  <si>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</si>
  <si>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</si>
  <si>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</si>
  <si>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</si>
  <si>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</si>
  <si>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</si>
  <si>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</si>
  <si>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</si>
  <si>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</si>
  <si>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</si>
  <si>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</si>
  <si>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</si>
  <si>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</si>
  <si>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</si>
  <si>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</si>
  <si>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</si>
  <si>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</si>
  <si>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</si>
  <si>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</si>
  <si>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</si>
  <si>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</si>
  <si>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</si>
  <si>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</si>
  <si>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</si>
  <si>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</si>
  <si>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</si>
  <si>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</si>
  <si>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</si>
  <si>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</si>
  <si>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</si>
  <si>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</si>
  <si>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</si>
  <si>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</si>
  <si>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</si>
  <si>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</si>
  <si>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</si>
  <si>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</si>
  <si>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</si>
  <si>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</si>
  <si>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</si>
  <si>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</si>
  <si>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</si>
  <si>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</si>
  <si>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</si>
  <si>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</si>
  <si>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</si>
  <si>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</si>
  <si>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</si>
  <si>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</si>
  <si>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</si>
  <si>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</si>
  <si>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</si>
  <si>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</si>
  <si>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</si>
  <si>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</si>
  <si>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</si>
  <si>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</si>
  <si>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</si>
  <si>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</si>
  <si>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</si>
  <si>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</si>
  <si>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</si>
  <si>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</si>
  <si>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</si>
  <si>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</si>
  <si>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</si>
  <si>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</si>
  <si>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</si>
  <si>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</si>
  <si>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</si>
  <si>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</si>
  <si>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</si>
  <si>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</si>
  <si>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</si>
  <si>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</si>
  <si>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</si>
  <si>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</si>
  <si>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</si>
  <si>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</si>
  <si>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</si>
  <si>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</si>
  <si>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</si>
  <si>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</si>
  <si>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</si>
  <si>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</si>
  <si>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</si>
  <si>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</si>
  <si>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</si>
  <si>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</si>
  <si>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</si>
  <si>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</si>
  <si>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</si>
  <si>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</si>
  <si>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</si>
  <si>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</si>
  <si>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</si>
  <si>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</si>
  <si>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</si>
  <si>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</si>
  <si>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</si>
  <si>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</si>
  <si>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</si>
  <si>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</si>
  <si>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</si>
  <si>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</si>
  <si>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</si>
  <si>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</si>
  <si>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</si>
  <si>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</si>
  <si>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</si>
  <si>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</si>
  <si>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</si>
  <si>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</si>
  <si>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</si>
  <si>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</si>
  <si>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</si>
  <si>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</si>
  <si>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</si>
  <si>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</si>
  <si>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</si>
  <si>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</si>
  <si>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</si>
  <si>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</si>
  <si>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</si>
  <si>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</si>
  <si>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</si>
  <si>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</si>
  <si>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</si>
  <si>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</si>
  <si>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</si>
  <si>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</si>
  <si>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</si>
  <si>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</si>
  <si>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</si>
  <si>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</si>
  <si>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</si>
  <si>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</si>
  <si>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</si>
  <si>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</si>
  <si>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</si>
  <si>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</si>
  <si>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</si>
  <si>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</si>
  <si>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</si>
  <si>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</si>
  <si>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</si>
  <si>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</si>
  <si>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</si>
  <si>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</si>
  <si>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</si>
  <si>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</si>
  <si>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</si>
  <si>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</si>
  <si>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</si>
  <si>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</si>
  <si>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</si>
  <si>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</si>
  <si>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</si>
  <si>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</si>
  <si>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</si>
  <si>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</si>
  <si>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</si>
  <si>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</si>
  <si>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</si>
  <si>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</si>
  <si>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</si>
  <si>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</si>
  <si>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</si>
  <si>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</si>
  <si>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</si>
  <si>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</si>
  <si>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</si>
  <si>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</si>
  <si>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</si>
  <si>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</si>
  <si>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</si>
  <si>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</si>
  <si>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</si>
  <si>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</si>
  <si>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</si>
  <si>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</si>
  <si>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</si>
  <si>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</si>
  <si>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</si>
  <si>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</si>
  <si>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</si>
  <si>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</si>
  <si>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</si>
  <si>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</si>
  <si>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</si>
  <si>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</si>
  <si>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</si>
  <si>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</si>
  <si>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</si>
  <si>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</si>
  <si>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</si>
  <si>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</si>
  <si>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</si>
  <si>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</si>
  <si>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</si>
  <si>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</si>
  <si>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</si>
  <si>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</si>
  <si>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</si>
  <si>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</si>
  <si>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</si>
  <si>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</si>
  <si>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</si>
  <si>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</si>
  <si>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</si>
  <si>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</si>
  <si>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</si>
  <si>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</si>
  <si>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</si>
  <si>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</si>
  <si>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</si>
  <si>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</si>
  <si>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</si>
  <si>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</si>
  <si>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</si>
  <si>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</si>
  <si>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</si>
  <si>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</si>
  <si>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</si>
  <si>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</si>
  <si>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</si>
  <si>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</si>
  <si>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</si>
  <si>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</si>
  <si>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</si>
  <si>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</si>
  <si>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</si>
  <si>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</si>
  <si>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</si>
  <si>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</si>
  <si>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</si>
  <si>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</si>
  <si>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</si>
  <si>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</si>
  <si>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</si>
  <si>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</si>
  <si>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</si>
  <si>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</si>
  <si>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</si>
  <si>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</si>
  <si>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</si>
  <si>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</si>
  <si>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</si>
  <si>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</si>
  <si>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</si>
  <si>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</si>
  <si>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</si>
  <si>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</si>
  <si>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</si>
  <si>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</si>
  <si>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</si>
  <si>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</si>
  <si>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</si>
  <si>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</si>
  <si>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</si>
  <si>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</si>
  <si>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</si>
  <si>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</si>
  <si>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</si>
  <si>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</si>
  <si>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</si>
  <si>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</si>
  <si>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</si>
  <si>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</si>
  <si>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</si>
  <si>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</si>
  <si>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</si>
  <si>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</si>
  <si>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</si>
  <si>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</si>
  <si>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</si>
  <si>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</si>
  <si>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</si>
  <si>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</si>
  <si>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</si>
  <si>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</si>
  <si>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</si>
  <si>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</si>
  <si>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</si>
  <si>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</si>
  <si>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</si>
  <si>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</si>
  <si>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</si>
  <si>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</si>
  <si>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</si>
  <si>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</si>
  <si>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</si>
  <si>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</si>
  <si>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</si>
  <si>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</si>
  <si>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</si>
  <si>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</si>
  <si>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</si>
  <si>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</si>
  <si>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</si>
  <si>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</si>
  <si>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</si>
  <si>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</si>
  <si>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</si>
  <si>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</si>
  <si>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</si>
  <si>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</si>
  <si>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</si>
  <si>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</si>
  <si>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</si>
  <si>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</si>
  <si>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</si>
  <si>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</si>
  <si>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</si>
  <si>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</si>
  <si>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</si>
  <si>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</si>
  <si>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</si>
  <si>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</si>
  <si>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</si>
  <si>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</si>
  <si>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</si>
  <si>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</si>
  <si>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</si>
  <si>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</si>
  <si>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</si>
  <si>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</si>
  <si>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</si>
  <si>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</si>
  <si>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</si>
  <si>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</si>
  <si>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</si>
  <si>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</si>
  <si>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</si>
  <si>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</si>
  <si>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</si>
  <si>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</si>
  <si>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</si>
  <si>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</si>
  <si>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</si>
  <si>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</si>
  <si>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</si>
  <si>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</si>
  <si>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</si>
  <si>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</si>
  <si>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</si>
  <si>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</si>
  <si>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</si>
  <si>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</si>
  <si>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</si>
  <si>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</si>
  <si>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</si>
  <si>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</si>
  <si>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</si>
  <si>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</si>
  <si>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</si>
  <si>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</si>
  <si>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</si>
  <si>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</si>
  <si>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</si>
  <si>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</si>
  <si>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</si>
  <si>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</si>
  <si>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</si>
  <si>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</si>
  <si>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</si>
  <si>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</si>
  <si>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</si>
  <si>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</si>
  <si>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</si>
  <si>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</si>
  <si>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</si>
  <si>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</si>
  <si>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</si>
  <si>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</si>
  <si>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</si>
  <si>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</si>
  <si>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</si>
  <si>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</si>
  <si>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</si>
  <si>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</si>
  <si>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</si>
  <si>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</si>
  <si>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</si>
  <si>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</si>
  <si>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</si>
  <si>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</si>
  <si>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</si>
  <si>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</si>
  <si>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</si>
  <si>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</si>
  <si>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</si>
  <si>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</si>
  <si>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</si>
  <si>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</si>
  <si>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</si>
  <si>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</si>
  <si>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</si>
  <si>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</si>
  <si>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</si>
  <si>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</si>
  <si>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</si>
  <si>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</si>
  <si>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</si>
  <si>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</si>
  <si>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</si>
  <si>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</si>
  <si>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</si>
  <si>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</si>
  <si>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</si>
  <si>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</si>
  <si>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</si>
  <si>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</si>
  <si>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</si>
  <si>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</si>
  <si>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</si>
  <si>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</si>
  <si>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</si>
  <si>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</si>
  <si>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</si>
  <si>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</si>
  <si>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</si>
  <si>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</si>
  <si>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</si>
  <si>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</si>
  <si>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</si>
  <si>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</si>
  <si>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</si>
  <si>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</si>
  <si>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</si>
  <si>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</si>
  <si>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</si>
  <si>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</si>
  <si>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</si>
  <si>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</si>
  <si>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</si>
  <si>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</si>
  <si>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</si>
  <si>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</si>
  <si>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</si>
  <si>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</si>
  <si>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</si>
  <si>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</si>
  <si>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</si>
  <si>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</si>
  <si>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</si>
  <si>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</si>
  <si>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</si>
  <si>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</si>
  <si>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</si>
  <si>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</si>
  <si>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</si>
  <si>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</si>
  <si>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</si>
  <si>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</si>
  <si>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</si>
  <si>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</si>
  <si>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</si>
  <si>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</si>
  <si>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</si>
  <si>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</si>
  <si>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</si>
  <si>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</si>
  <si>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</si>
  <si>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</si>
  <si>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</si>
  <si>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</si>
  <si>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</si>
  <si>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</si>
  <si>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</si>
  <si>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</si>
  <si>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</si>
  <si>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</si>
  <si>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</si>
  <si>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</si>
  <si>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</si>
  <si>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</si>
  <si>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</si>
  <si>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</si>
  <si>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</si>
  <si>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</si>
  <si>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</si>
  <si>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</si>
  <si>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</si>
  <si>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</si>
  <si>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</si>
  <si>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</si>
  <si>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</si>
  <si>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</si>
  <si>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</si>
  <si>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</si>
  <si>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</si>
  <si>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</si>
  <si>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</si>
  <si>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</si>
  <si>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</si>
  <si>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</si>
  <si>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</si>
  <si>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</si>
  <si>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</si>
  <si>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</si>
  <si>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</si>
  <si>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</si>
  <si>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</si>
  <si>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</si>
  <si>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</si>
  <si>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</si>
  <si>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</si>
  <si>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</si>
  <si>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</si>
  <si>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</si>
  <si>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</si>
  <si>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</si>
  <si>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</si>
  <si>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</si>
  <si>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</si>
  <si>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</si>
  <si>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</si>
  <si>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</si>
  <si>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</si>
  <si>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</si>
  <si>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</si>
  <si>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</si>
  <si>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</si>
  <si>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</si>
  <si>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</si>
  <si>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</si>
  <si>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</si>
  <si>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</si>
  <si>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</si>
  <si>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</si>
  <si>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</si>
  <si>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</si>
  <si>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</si>
  <si>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</si>
  <si>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</si>
  <si>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</si>
  <si>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</si>
  <si>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</si>
  <si>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</si>
  <si>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</si>
  <si>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</si>
  <si>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</si>
  <si>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</si>
  <si>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</si>
  <si>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</si>
  <si>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</si>
  <si>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</si>
  <si>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</si>
  <si>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</si>
  <si>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</si>
  <si>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</si>
  <si>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</si>
  <si>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</si>
  <si>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</si>
  <si>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</si>
  <si>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</si>
  <si>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</si>
  <si>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</si>
  <si>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</si>
  <si>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</si>
  <si>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</si>
  <si>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</si>
  <si>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</si>
  <si>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</si>
  <si>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</si>
  <si>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</si>
  <si>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</si>
  <si>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</si>
  <si>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</si>
  <si>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</si>
  <si>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</si>
  <si>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</si>
  <si>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</si>
  <si>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</si>
  <si>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</si>
  <si>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</si>
  <si>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</si>
  <si>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</si>
  <si>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</si>
  <si>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</si>
  <si>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</si>
  <si>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</si>
  <si>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</si>
  <si>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</si>
  <si>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</si>
  <si>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</si>
  <si>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</si>
  <si>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</si>
  <si>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</si>
  <si>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</si>
  <si>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</si>
  <si>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</si>
  <si>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</si>
  <si>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</si>
  <si>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</si>
  <si>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</si>
  <si>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</si>
  <si>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</si>
  <si>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</si>
  <si>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</si>
  <si>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</si>
  <si>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</si>
  <si>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</si>
  <si>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</si>
  <si>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</si>
  <si>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</si>
  <si>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</si>
  <si>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</si>
  <si>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</si>
  <si>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</si>
  <si>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</si>
  <si>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</si>
  <si>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</si>
  <si>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</si>
  <si>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</si>
  <si>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</si>
  <si>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</si>
  <si>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</si>
  <si>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</si>
  <si>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</si>
  <si>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</si>
  <si>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</si>
  <si>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</si>
  <si>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</si>
  <si>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</si>
  <si>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</si>
  <si>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</si>
  <si>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</si>
  <si>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</si>
  <si>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</si>
  <si>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</si>
  <si>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</si>
  <si>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</si>
  <si>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</si>
  <si>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</si>
  <si>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</si>
  <si>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</si>
  <si>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</si>
  <si>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</si>
  <si>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</si>
  <si>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</si>
  <si>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</si>
  <si>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</si>
  <si>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</si>
  <si>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</si>
  <si>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</si>
  <si>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</si>
  <si>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</si>
  <si>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</si>
  <si>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</si>
  <si>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</si>
  <si>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</si>
  <si>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</si>
  <si>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</si>
  <si>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</si>
  <si>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</si>
  <si>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</si>
  <si>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</si>
  <si>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</si>
  <si>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</si>
  <si>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</si>
  <si>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</si>
  <si>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</si>
  <si>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</si>
  <si>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</si>
  <si>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</si>
  <si>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</si>
  <si>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</si>
  <si>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</si>
  <si>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</si>
  <si>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</si>
  <si>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</si>
  <si>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</si>
  <si>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</si>
  <si>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</si>
  <si>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</si>
  <si>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</si>
  <si>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</si>
  <si>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</si>
  <si>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</si>
  <si>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</si>
  <si>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</si>
  <si>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</si>
  <si>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</si>
  <si>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</si>
  <si>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</si>
  <si>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</si>
  <si>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</si>
  <si>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</si>
  <si>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</si>
  <si>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</si>
  <si>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</si>
  <si>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</si>
  <si>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</si>
  <si>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</si>
  <si>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</si>
  <si>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</si>
  <si>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</si>
  <si>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</si>
  <si>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</si>
  <si>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</si>
  <si>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</si>
  <si>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</si>
  <si>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</si>
  <si>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</si>
  <si>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</si>
  <si>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</si>
  <si>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</si>
  <si>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</si>
  <si>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</si>
  <si>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</si>
  <si>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</si>
  <si>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</si>
  <si>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</si>
  <si>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</si>
  <si>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</si>
  <si>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</si>
  <si>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</si>
  <si>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</si>
  <si>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</si>
  <si>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</si>
  <si>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</si>
  <si>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</si>
  <si>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</si>
  <si>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</si>
  <si>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</si>
  <si>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</si>
  <si>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</si>
  <si>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</si>
  <si>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</si>
  <si>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</si>
  <si>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</si>
  <si>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</si>
  <si>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</si>
  <si>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</si>
  <si>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</si>
  <si>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</si>
  <si>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</si>
  <si>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</si>
  <si>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</si>
  <si>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</si>
  <si>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</si>
  <si>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</si>
  <si>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</si>
  <si>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</si>
  <si>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</si>
  <si>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</si>
  <si>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</si>
  <si>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</si>
  <si>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</si>
  <si>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</si>
  <si>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</si>
  <si>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</si>
  <si>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</si>
  <si>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</si>
  <si>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</si>
  <si>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</si>
  <si>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</si>
  <si>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</si>
  <si>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</si>
  <si>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</si>
  <si>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</si>
  <si>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</si>
  <si>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</si>
  <si>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</si>
  <si>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</si>
  <si>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</si>
  <si>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</si>
  <si>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</si>
  <si>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</si>
  <si>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</si>
  <si>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</si>
  <si>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</si>
  <si>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</si>
  <si>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</si>
  <si>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</si>
  <si>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</si>
  <si>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</si>
  <si>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</si>
  <si>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</si>
  <si>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</si>
  <si>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</si>
  <si>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</si>
  <si>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</si>
  <si>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</si>
  <si>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</si>
  <si>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</si>
  <si>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</si>
  <si>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</si>
  <si>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</si>
  <si>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</si>
  <si>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</si>
  <si>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</si>
  <si>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</si>
  <si>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</si>
  <si>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</si>
  <si>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</si>
  <si>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</si>
  <si>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</si>
  <si>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</si>
  <si>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</si>
  <si>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</si>
  <si>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</si>
  <si>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</si>
  <si>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</si>
  <si>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</si>
  <si>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</si>
  <si>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</si>
  <si>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</si>
  <si>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</si>
  <si>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</si>
  <si>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</si>
  <si>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</si>
  <si>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</si>
  <si>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</si>
  <si>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</si>
  <si>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</si>
  <si>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</si>
  <si>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</si>
  <si>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</si>
  <si>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</si>
  <si>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</si>
  <si>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</si>
  <si>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</si>
  <si>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</si>
  <si>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</si>
  <si>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</si>
  <si>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</si>
  <si>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</si>
  <si>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</si>
  <si>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</si>
  <si>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</si>
  <si>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</si>
  <si>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</si>
  <si>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</si>
  <si>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</si>
  <si>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</si>
  <si>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</si>
  <si>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</si>
  <si>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</si>
  <si>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</si>
  <si>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</si>
  <si>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</si>
  <si>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</si>
  <si>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</si>
  <si>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</si>
  <si>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</si>
  <si>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</si>
  <si>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</si>
  <si>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</si>
  <si>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</si>
  <si>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</si>
  <si>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</si>
  <si>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</si>
  <si>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</si>
  <si>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</si>
  <si>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</si>
  <si>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</si>
  <si>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</si>
  <si>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</si>
  <si>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</si>
  <si>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</si>
  <si>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</si>
  <si>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</si>
  <si>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</si>
  <si>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</si>
  <si>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</si>
  <si>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</si>
  <si>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</si>
  <si>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</si>
  <si>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</si>
  <si>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</si>
  <si>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</si>
  <si>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</si>
  <si>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</si>
  <si>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</si>
  <si>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</si>
  <si>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</si>
  <si>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</si>
  <si>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</si>
  <si>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</si>
  <si>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</si>
  <si>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</si>
  <si>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</si>
  <si>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</si>
  <si>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</si>
  <si>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</si>
  <si>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</si>
  <si>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</si>
  <si>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</si>
  <si>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</si>
  <si>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</si>
  <si>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</si>
  <si>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</si>
  <si>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</si>
  <si>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</si>
  <si>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</si>
  <si>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</si>
  <si>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</si>
  <si>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</si>
  <si>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</si>
  <si>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</si>
  <si>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</si>
  <si>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</si>
  <si>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</si>
  <si>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</si>
  <si>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</si>
  <si>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</si>
  <si>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</si>
  <si>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</si>
  <si>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</si>
  <si>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</si>
  <si>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</si>
  <si>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</si>
  <si>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</si>
  <si>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</si>
  <si>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</si>
  <si>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</si>
  <si>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</si>
  <si>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</si>
  <si>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</si>
  <si>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</si>
  <si>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</si>
  <si>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</si>
  <si>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</si>
  <si>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</si>
  <si>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</si>
  <si>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</si>
  <si>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</si>
  <si>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</si>
  <si>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</si>
  <si>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</si>
  <si>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</si>
  <si>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</si>
  <si>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</si>
  <si>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</si>
  <si>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</si>
  <si>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</si>
  <si>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</si>
  <si>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</si>
  <si>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</si>
  <si>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</si>
  <si>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</si>
  <si>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</si>
  <si>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</si>
  <si>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</si>
  <si>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</si>
  <si>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</si>
  <si>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</si>
  <si>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</si>
  <si>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</si>
  <si>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</si>
  <si>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</si>
  <si>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</si>
  <si>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</si>
  <si>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</si>
  <si>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</si>
  <si>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</si>
  <si>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</si>
  <si>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</si>
  <si>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</si>
  <si>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</si>
  <si>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</si>
  <si>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</si>
  <si>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</si>
  <si>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</si>
  <si>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</si>
  <si>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</si>
  <si>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</si>
  <si>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</si>
  <si>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</si>
  <si>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</si>
  <si>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</si>
  <si>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</si>
  <si>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</si>
  <si>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</si>
  <si>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</si>
  <si>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</si>
  <si>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</si>
  <si>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</si>
  <si>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</si>
  <si>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</si>
  <si>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</si>
  <si>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</si>
  <si>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</si>
  <si>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</si>
  <si>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</si>
  <si>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</si>
  <si>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</si>
  <si>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</si>
  <si>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</si>
  <si>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</si>
  <si>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</si>
  <si>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</si>
  <si>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</si>
  <si>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</si>
  <si>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</si>
  <si>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</si>
  <si>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</si>
  <si>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</si>
  <si>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</si>
  <si>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</si>
  <si>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</si>
  <si>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</si>
  <si>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</si>
  <si>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</si>
  <si>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</si>
  <si>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</si>
  <si>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</si>
  <si>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</si>
  <si>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</si>
  <si>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</si>
  <si>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</si>
  <si>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</si>
  <si>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</si>
  <si>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</si>
  <si>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</si>
  <si>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</si>
  <si>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</si>
  <si>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</si>
  <si>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</si>
  <si>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</si>
  <si>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</si>
  <si>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</si>
  <si>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</si>
  <si>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</si>
  <si>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</si>
  <si>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</si>
  <si>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</si>
  <si>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</si>
  <si>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</si>
  <si>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</si>
  <si>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</si>
  <si>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</si>
  <si>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</si>
  <si>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</si>
  <si>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</si>
  <si>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</si>
  <si>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</si>
  <si>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</si>
  <si>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</si>
  <si>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</si>
  <si>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</si>
  <si>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</si>
  <si>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</si>
  <si>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</si>
  <si>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</si>
  <si>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</si>
  <si>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</si>
  <si>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</si>
  <si>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</si>
  <si>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</si>
  <si>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</si>
  <si>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</si>
  <si>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</si>
  <si>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</si>
  <si>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</si>
  <si>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</si>
  <si>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</si>
  <si>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</si>
  <si>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</si>
  <si>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</si>
  <si>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</si>
  <si>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</si>
  <si>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</si>
  <si>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</si>
  <si>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</si>
  <si>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</si>
  <si>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</si>
  <si>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</si>
  <si>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</si>
  <si>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</si>
  <si>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</si>
  <si>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</si>
  <si>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</si>
  <si>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</si>
  <si>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</si>
  <si>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</si>
  <si>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</si>
  <si>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</si>
  <si>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</si>
  <si>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</si>
  <si>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</si>
  <si>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</si>
  <si>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</si>
  <si>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</si>
  <si>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</si>
  <si>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</si>
  <si>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</si>
  <si>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Innovative Power Prducts</t>
  </si>
  <si>
    <t>The scope of Innovative Power Products, Inc. is designing, manufacturing, and sales of RF and Microwave Passive Components.</t>
  </si>
  <si>
    <t>117-8 Lincoln Ave., Holbrook, NY 11741</t>
  </si>
  <si>
    <t>Dan Guiffre</t>
  </si>
  <si>
    <t>dguiffre@innovativepp.com</t>
  </si>
  <si>
    <t>631-563-0088</t>
  </si>
  <si>
    <t>Tom Passaro</t>
  </si>
  <si>
    <t>President</t>
  </si>
  <si>
    <t>tpassaro@iinovativepp.com</t>
  </si>
  <si>
    <t xml:space="preserve">IPP purchases articles/components which contains solder/tin from several sources including: Inventc Performance Chemicals, The Indium Corp. of America, Element Solutions, and Rogers Corporation. All information is based on information that was transposed from their RMI latest tempale. Inventec &amp; The Indium Corp. of America  uses smelter Thaisarco which currently sorces some tin from Myanmar but only from the southern region of the country as per details in CID001898. Element Solutions obtain tin from RMI RMAP Approved (Luma Smelter Ltd -CID003387) </t>
  </si>
  <si>
    <t>100%</t>
  </si>
  <si>
    <t>To the extent identified and reported by Innovative Power Products downstream suppliers.</t>
  </si>
  <si>
    <t>http;innovative.com/about-us/conflictminerals</t>
  </si>
  <si>
    <t>Alpha</t>
  </si>
  <si>
    <t>Element solutions, Inventec, Rogers</t>
  </si>
  <si>
    <t>Element solutions, Santron, Inventec, Rogers</t>
  </si>
  <si>
    <t>Element solutions, Indium, Inventec, Rogers</t>
  </si>
  <si>
    <t>Element solutions, Santron, Indium, Inventec, Rogers</t>
  </si>
  <si>
    <t>Bairro Guarapiranga</t>
  </si>
  <si>
    <t>Element solutions, Idium, Inventec, Rogers</t>
  </si>
  <si>
    <t>Element solutions, Rogers</t>
  </si>
  <si>
    <t>Element solutions</t>
  </si>
  <si>
    <t>Element solutions, Idium</t>
  </si>
  <si>
    <t>CID002570</t>
  </si>
  <si>
    <t>CV Ayi Jaya</t>
  </si>
  <si>
    <t>CID001486</t>
  </si>
  <si>
    <t>PT Timah Nusantara</t>
  </si>
  <si>
    <t>Tempilang</t>
  </si>
  <si>
    <t>CID001463</t>
  </si>
  <si>
    <t>PT Sariwiguna Binasentosa</t>
  </si>
  <si>
    <t>CID002816</t>
  </si>
  <si>
    <t>PT Sukses Inti Makmur (SIM)</t>
  </si>
  <si>
    <t>Belitung</t>
  </si>
  <si>
    <t>Element solutions, Santron, Idium, Inventec, Rogers</t>
  </si>
  <si>
    <t>CID001460</t>
  </si>
  <si>
    <t>PT Refined Bangka Tin</t>
  </si>
  <si>
    <t>CID001493</t>
  </si>
  <si>
    <t>PT Tommy Utama</t>
  </si>
  <si>
    <t>Sumping Desa Batu Peyu</t>
  </si>
  <si>
    <t>CID002835</t>
  </si>
  <si>
    <t>PT Menara Cipta Mulia</t>
  </si>
  <si>
    <t>Mentawak</t>
  </si>
  <si>
    <t>CID000309</t>
  </si>
  <si>
    <t>PT Aries Kencana Sejahtera</t>
  </si>
  <si>
    <t>Pemali</t>
  </si>
  <si>
    <t>CID001399</t>
  </si>
  <si>
    <t>PT Artha Cipta Langgeng</t>
  </si>
  <si>
    <t>CID001402</t>
  </si>
  <si>
    <t>PT Babel Inti Perkasa</t>
  </si>
  <si>
    <t>Lintang</t>
  </si>
  <si>
    <t>CID001406</t>
  </si>
  <si>
    <t>PT Babel Surya Alam Lestari</t>
  </si>
  <si>
    <t>Badau</t>
  </si>
  <si>
    <t>CID001468</t>
  </si>
  <si>
    <t>PT Stanindo Inti Perkasa</t>
  </si>
  <si>
    <t>Element solutions, Inventec</t>
  </si>
  <si>
    <t>CID003205</t>
  </si>
  <si>
    <t>PT Bangka Serumpun</t>
  </si>
  <si>
    <t>CID003381</t>
  </si>
  <si>
    <t>PT Rajawali Rimba Perkasa</t>
  </si>
  <si>
    <t>Tukak Sadai</t>
  </si>
  <si>
    <t>Element solutions,Rogers</t>
  </si>
  <si>
    <t>CID001490</t>
  </si>
  <si>
    <t>PT Tinindo Inter Nusa</t>
  </si>
  <si>
    <t>CID001428</t>
  </si>
  <si>
    <t>PT Bukit Timah</t>
  </si>
  <si>
    <t>Element solutions, Santron</t>
  </si>
  <si>
    <t>Kobe</t>
  </si>
  <si>
    <t>Element solutions, Santron, Indium</t>
  </si>
  <si>
    <t>Santron</t>
  </si>
  <si>
    <t>Rogers</t>
  </si>
  <si>
    <t>CID002455</t>
  </si>
  <si>
    <t>CV Venus Inti Perkasa</t>
  </si>
  <si>
    <t>CID001419</t>
  </si>
  <si>
    <t>PT Bangka Tin Industry</t>
  </si>
  <si>
    <t>Kabupaten Bangka</t>
  </si>
  <si>
    <t>CID003831</t>
  </si>
  <si>
    <t>DS Myanmar</t>
  </si>
  <si>
    <t>CID001421</t>
  </si>
  <si>
    <t>PT Belitung Industri Sejahtera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</si>
</sst>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dguiffre@innovativepp.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tpassaro@iinovativepp.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818</v>
      </c>
      <c r="C2" s="3"/>
      <c r="D2" s="175"/>
      <c r="E2" s="3"/>
      <c r="F2" s="3"/>
      <c r="G2" s="25"/>
    </row>
    <row r="3" spans="1:7">
      <c r="A3" s="302"/>
      <c r="B3" s="3" t="s">
        <v>811</v>
      </c>
      <c r="C3" s="5"/>
      <c r="D3" s="176"/>
      <c r="E3" s="3"/>
      <c r="F3" s="5"/>
      <c r="G3" s="25"/>
    </row>
    <row r="4" spans="1:7" ht="15.75">
      <c r="A4" s="302"/>
      <c r="B4" s="30" t="s">
        <v>820</v>
      </c>
      <c r="C4" s="6"/>
      <c r="D4" s="177"/>
      <c r="E4" s="3"/>
      <c r="F4" s="6"/>
      <c r="G4" s="25"/>
    </row>
    <row r="5" spans="1:7">
      <c r="A5" s="302"/>
      <c r="B5" s="29" t="s">
        <v>1009</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821</v>
      </c>
      <c r="C9" s="305"/>
      <c r="D9" s="305"/>
      <c r="E9" s="305"/>
      <c r="F9" s="305"/>
      <c r="G9" s="25"/>
    </row>
    <row r="10" spans="1:7" ht="27" customHeight="1">
      <c r="A10" s="302"/>
      <c r="B10" s="306" t="s">
        <v>425</v>
      </c>
      <c r="C10" s="306"/>
      <c r="D10" s="306"/>
      <c r="E10" s="306"/>
      <c r="F10" s="306"/>
      <c r="G10" s="25"/>
    </row>
    <row r="11" spans="1:7" ht="27" customHeight="1">
      <c r="A11" s="302"/>
      <c r="B11" s="307"/>
      <c r="C11" s="307"/>
      <c r="D11" s="307"/>
      <c r="E11" s="307"/>
      <c r="F11" s="307"/>
      <c r="G11" s="25"/>
    </row>
    <row r="12" spans="1:7">
      <c r="A12" s="302"/>
      <c r="B12" s="31" t="s">
        <v>819</v>
      </c>
      <c r="C12" s="32" t="s">
        <v>822</v>
      </c>
      <c r="D12" s="179" t="s">
        <v>823</v>
      </c>
      <c r="E12" s="32" t="s">
        <v>595</v>
      </c>
      <c r="F12" s="32" t="s">
        <v>596</v>
      </c>
      <c r="G12" s="25"/>
    </row>
    <row r="13" spans="1:7" ht="33.75">
      <c r="A13" s="302"/>
      <c r="B13" s="2">
        <v>1</v>
      </c>
      <c r="C13" s="27" t="s">
        <v>1057</v>
      </c>
      <c r="D13" s="28" t="s">
        <v>847</v>
      </c>
      <c r="E13" s="163" t="s">
        <v>824</v>
      </c>
      <c r="F13" s="163"/>
      <c r="G13" s="25"/>
    </row>
    <row r="14" spans="1:7" ht="33.75">
      <c r="A14" s="302"/>
      <c r="B14" s="2">
        <v>2</v>
      </c>
      <c r="C14" s="27" t="s">
        <v>1057</v>
      </c>
      <c r="D14" s="28" t="s">
        <v>994</v>
      </c>
      <c r="E14" s="163" t="s">
        <v>515</v>
      </c>
      <c r="F14" s="163" t="s">
        <v>516</v>
      </c>
      <c r="G14" s="25"/>
    </row>
    <row r="15" spans="1:7" ht="89.1" customHeight="1">
      <c r="A15" s="302"/>
      <c r="B15" s="308">
        <v>2.0099999999999998</v>
      </c>
      <c r="C15" s="299" t="s">
        <v>1057</v>
      </c>
      <c r="D15" s="311" t="s">
        <v>2198</v>
      </c>
      <c r="E15" s="164" t="s">
        <v>597</v>
      </c>
      <c r="F15" s="164" t="s">
        <v>600</v>
      </c>
      <c r="G15" s="25"/>
    </row>
    <row r="16" spans="1:7" ht="99" customHeight="1">
      <c r="A16" s="302"/>
      <c r="B16" s="309"/>
      <c r="C16" s="300"/>
      <c r="D16" s="312"/>
      <c r="E16" s="165"/>
      <c r="F16" s="165" t="s">
        <v>598</v>
      </c>
      <c r="G16" s="25"/>
    </row>
    <row r="17" spans="1:7" ht="63" customHeight="1">
      <c r="A17" s="302"/>
      <c r="B17" s="310"/>
      <c r="C17" s="301"/>
      <c r="D17" s="313"/>
      <c r="E17" s="27"/>
      <c r="F17" s="27" t="s">
        <v>599</v>
      </c>
      <c r="G17" s="25"/>
    </row>
    <row r="18" spans="1:7" ht="117" customHeight="1">
      <c r="A18" s="302"/>
      <c r="B18" s="308">
        <v>2.02</v>
      </c>
      <c r="C18" s="299" t="s">
        <v>1057</v>
      </c>
      <c r="D18" s="311" t="s">
        <v>2199</v>
      </c>
      <c r="E18" s="164" t="s">
        <v>426</v>
      </c>
      <c r="F18" s="164" t="s">
        <v>510</v>
      </c>
      <c r="G18" s="25"/>
    </row>
    <row r="19" spans="1:7" ht="71.099999999999994" customHeight="1">
      <c r="A19" s="302"/>
      <c r="B19" s="309"/>
      <c r="C19" s="300"/>
      <c r="D19" s="312"/>
      <c r="E19" s="165" t="s">
        <v>514</v>
      </c>
      <c r="F19" s="165" t="s">
        <v>427</v>
      </c>
      <c r="G19" s="25"/>
    </row>
    <row r="20" spans="1:7" ht="90.75" customHeight="1">
      <c r="A20" s="302"/>
      <c r="B20" s="309"/>
      <c r="C20" s="300"/>
      <c r="D20" s="312"/>
      <c r="E20" s="165"/>
      <c r="F20" s="165" t="s">
        <v>602</v>
      </c>
      <c r="G20" s="25"/>
    </row>
    <row r="21" spans="1:7" ht="74.25" customHeight="1">
      <c r="A21" s="302"/>
      <c r="B21" s="310"/>
      <c r="C21" s="301"/>
      <c r="D21" s="313"/>
      <c r="E21" s="27"/>
      <c r="F21" s="27" t="s">
        <v>601</v>
      </c>
      <c r="G21" s="25"/>
    </row>
    <row r="22" spans="1:7" ht="90" customHeight="1">
      <c r="A22" s="302"/>
      <c r="B22" s="293">
        <v>2.0299999999999998</v>
      </c>
      <c r="C22" s="293" t="s">
        <v>794</v>
      </c>
      <c r="D22" s="296" t="s">
        <v>2200</v>
      </c>
      <c r="E22" s="299" t="s">
        <v>424</v>
      </c>
      <c r="F22" s="164" t="s">
        <v>447</v>
      </c>
      <c r="G22" s="25"/>
    </row>
    <row r="23" spans="1:7" ht="109.5" customHeight="1">
      <c r="A23" s="302"/>
      <c r="B23" s="294"/>
      <c r="C23" s="294"/>
      <c r="D23" s="297"/>
      <c r="E23" s="300"/>
      <c r="F23" s="165" t="s">
        <v>795</v>
      </c>
      <c r="G23" s="25"/>
    </row>
    <row r="24" spans="1:7" ht="74.25" customHeight="1">
      <c r="A24" s="302"/>
      <c r="B24" s="295"/>
      <c r="C24" s="295"/>
      <c r="D24" s="298"/>
      <c r="E24" s="301"/>
      <c r="F24" s="27" t="s">
        <v>423</v>
      </c>
      <c r="G24" s="25"/>
    </row>
    <row r="25" spans="1:7" ht="72" customHeight="1">
      <c r="A25" s="302"/>
      <c r="B25" s="2" t="s">
        <v>445</v>
      </c>
      <c r="C25" s="27" t="s">
        <v>446</v>
      </c>
      <c r="D25" s="28" t="s">
        <v>2201</v>
      </c>
      <c r="E25" s="27" t="s">
        <v>2196</v>
      </c>
      <c r="F25" s="27" t="s">
        <v>448</v>
      </c>
      <c r="G25" s="25"/>
    </row>
    <row r="26" spans="1:7" ht="98.1" customHeight="1">
      <c r="A26" s="302"/>
      <c r="B26" s="314">
        <v>3</v>
      </c>
      <c r="C26" s="308" t="s">
        <v>66</v>
      </c>
      <c r="D26" s="311" t="s">
        <v>2202</v>
      </c>
      <c r="E26" s="299" t="s">
        <v>0</v>
      </c>
      <c r="F26" s="164" t="s">
        <v>60</v>
      </c>
      <c r="G26" s="25"/>
    </row>
    <row r="27" spans="1:7" ht="90" customHeight="1">
      <c r="A27" s="302"/>
      <c r="B27" s="315"/>
      <c r="C27" s="309"/>
      <c r="D27" s="312"/>
      <c r="E27" s="300"/>
      <c r="F27" s="165" t="s">
        <v>55</v>
      </c>
      <c r="G27" s="25"/>
    </row>
    <row r="28" spans="1:7" ht="19.350000000000001" customHeight="1">
      <c r="A28" s="302"/>
      <c r="B28" s="315"/>
      <c r="C28" s="309"/>
      <c r="D28" s="312"/>
      <c r="E28" s="300"/>
      <c r="F28" s="165" t="s">
        <v>56</v>
      </c>
      <c r="G28" s="25"/>
    </row>
    <row r="29" spans="1:7" ht="74.650000000000006" customHeight="1">
      <c r="A29" s="302"/>
      <c r="B29" s="315"/>
      <c r="C29" s="309"/>
      <c r="D29" s="312"/>
      <c r="E29" s="300"/>
      <c r="F29" s="165" t="s">
        <v>57</v>
      </c>
      <c r="G29" s="25"/>
    </row>
    <row r="30" spans="1:7" ht="62.65" customHeight="1">
      <c r="A30" s="302"/>
      <c r="B30" s="315"/>
      <c r="C30" s="309"/>
      <c r="D30" s="312"/>
      <c r="E30" s="300"/>
      <c r="F30" s="165" t="s">
        <v>58</v>
      </c>
      <c r="G30" s="25"/>
    </row>
    <row r="31" spans="1:7" ht="81" customHeight="1">
      <c r="A31" s="302"/>
      <c r="B31" s="315"/>
      <c r="C31" s="309"/>
      <c r="D31" s="312"/>
      <c r="E31" s="300"/>
      <c r="F31" s="165" t="s">
        <v>59</v>
      </c>
      <c r="G31" s="25"/>
    </row>
    <row r="32" spans="1:7" ht="48.75" customHeight="1">
      <c r="A32" s="302"/>
      <c r="B32" s="315"/>
      <c r="C32" s="309"/>
      <c r="D32" s="312"/>
      <c r="E32" s="300"/>
      <c r="F32" s="165" t="s">
        <v>62</v>
      </c>
      <c r="G32" s="25"/>
    </row>
    <row r="33" spans="1:7" ht="98.65" customHeight="1">
      <c r="A33" s="302"/>
      <c r="B33" s="315"/>
      <c r="C33" s="309"/>
      <c r="D33" s="312"/>
      <c r="E33" s="300"/>
      <c r="F33" s="165" t="s">
        <v>61</v>
      </c>
      <c r="G33" s="25"/>
    </row>
    <row r="34" spans="1:7" ht="89.1" customHeight="1">
      <c r="A34" s="302"/>
      <c r="B34" s="315"/>
      <c r="C34" s="309"/>
      <c r="D34" s="312"/>
      <c r="E34" s="300"/>
      <c r="F34" s="165" t="s">
        <v>63</v>
      </c>
      <c r="G34" s="25"/>
    </row>
    <row r="35" spans="1:7" ht="29.1" customHeight="1">
      <c r="A35" s="302"/>
      <c r="B35" s="315"/>
      <c r="C35" s="309"/>
      <c r="D35" s="312"/>
      <c r="E35" s="300"/>
      <c r="F35" s="165" t="s">
        <v>64</v>
      </c>
      <c r="G35" s="25"/>
    </row>
    <row r="36" spans="1:7" ht="126.75">
      <c r="A36" s="302"/>
      <c r="B36" s="316"/>
      <c r="C36" s="310"/>
      <c r="D36" s="313"/>
      <c r="E36" s="301"/>
      <c r="F36" s="166" t="s">
        <v>65</v>
      </c>
      <c r="G36" s="25"/>
    </row>
    <row r="37" spans="1:7" ht="112.5">
      <c r="A37" s="302"/>
      <c r="B37" s="141">
        <v>3.01</v>
      </c>
      <c r="C37" s="142" t="s">
        <v>66</v>
      </c>
      <c r="D37" s="28" t="s">
        <v>2203</v>
      </c>
      <c r="E37" s="167" t="s">
        <v>1294</v>
      </c>
      <c r="F37" s="168" t="s">
        <v>1396</v>
      </c>
      <c r="G37" s="25"/>
    </row>
    <row r="38" spans="1:7" ht="101.25">
      <c r="A38" s="302"/>
      <c r="B38" s="141">
        <v>3.02</v>
      </c>
      <c r="C38" s="142" t="s">
        <v>1326</v>
      </c>
      <c r="D38" s="28" t="s">
        <v>2204</v>
      </c>
      <c r="E38" s="167" t="s">
        <v>1341</v>
      </c>
      <c r="F38" s="168" t="s">
        <v>1397</v>
      </c>
      <c r="G38" s="25"/>
    </row>
    <row r="39" spans="1:7" ht="101.25">
      <c r="A39" s="302"/>
      <c r="B39" s="150">
        <v>4</v>
      </c>
      <c r="C39" s="149" t="s">
        <v>1492</v>
      </c>
      <c r="D39" s="28" t="s">
        <v>2205</v>
      </c>
      <c r="E39" s="27" t="s">
        <v>2151</v>
      </c>
      <c r="F39" s="27" t="s">
        <v>1493</v>
      </c>
      <c r="G39" s="25"/>
    </row>
    <row r="40" spans="1:7" ht="56.25">
      <c r="A40" s="302"/>
      <c r="B40" s="141">
        <v>4.01</v>
      </c>
      <c r="C40" s="149" t="s">
        <v>1492</v>
      </c>
      <c r="D40" s="28" t="s">
        <v>2207</v>
      </c>
      <c r="E40" s="27" t="s">
        <v>2163</v>
      </c>
      <c r="F40" s="27" t="s">
        <v>2167</v>
      </c>
      <c r="G40" s="25"/>
    </row>
    <row r="41" spans="1:7" ht="56.25">
      <c r="A41" s="302"/>
      <c r="B41" s="141" t="s">
        <v>2194</v>
      </c>
      <c r="C41" s="149" t="s">
        <v>1492</v>
      </c>
      <c r="D41" s="28" t="s">
        <v>2206</v>
      </c>
      <c r="E41" s="27" t="s">
        <v>2197</v>
      </c>
      <c r="F41" s="27" t="s">
        <v>2195</v>
      </c>
      <c r="G41" s="25"/>
    </row>
    <row r="42" spans="1:7" ht="56.25">
      <c r="A42" s="302"/>
      <c r="B42" s="141" t="s">
        <v>2228</v>
      </c>
      <c r="C42" s="149" t="s">
        <v>1492</v>
      </c>
      <c r="D42" s="28" t="s">
        <v>2233</v>
      </c>
      <c r="E42" s="27" t="s">
        <v>2196</v>
      </c>
      <c r="F42" s="27" t="s">
        <v>2229</v>
      </c>
      <c r="G42" s="25"/>
    </row>
    <row r="43" spans="1:7" ht="123.75">
      <c r="A43" s="302"/>
      <c r="B43" s="160">
        <v>4.0999999999999996</v>
      </c>
      <c r="C43" s="149" t="s">
        <v>2232</v>
      </c>
      <c r="D43" s="161">
        <v>42867</v>
      </c>
      <c r="E43" s="169" t="s">
        <v>2235</v>
      </c>
      <c r="F43" s="27" t="s">
        <v>2234</v>
      </c>
      <c r="G43" s="25"/>
    </row>
    <row r="44" spans="1:7" ht="78.75">
      <c r="A44" s="302"/>
      <c r="B44" s="160">
        <v>4.2</v>
      </c>
      <c r="C44" s="149" t="s">
        <v>2232</v>
      </c>
      <c r="D44" s="161">
        <v>42704</v>
      </c>
      <c r="E44" s="169" t="s">
        <v>2431</v>
      </c>
      <c r="F44" s="27" t="s">
        <v>2406</v>
      </c>
      <c r="G44" s="25"/>
    </row>
    <row r="45" spans="1:7" ht="157.5">
      <c r="A45" s="302"/>
      <c r="B45" s="202">
        <v>5</v>
      </c>
      <c r="C45" s="149" t="s">
        <v>2232</v>
      </c>
      <c r="D45" s="161">
        <v>42867</v>
      </c>
      <c r="E45" s="169" t="s">
        <v>12652</v>
      </c>
      <c r="F45" s="27" t="s">
        <v>12374</v>
      </c>
      <c r="G45" s="25"/>
    </row>
    <row r="46" spans="1:7" ht="45">
      <c r="A46" s="302"/>
      <c r="B46" s="160">
        <v>5.01</v>
      </c>
      <c r="C46" s="149" t="s">
        <v>2232</v>
      </c>
      <c r="D46" s="161">
        <v>42907</v>
      </c>
      <c r="E46" s="169" t="s">
        <v>15329</v>
      </c>
      <c r="F46" s="27" t="s">
        <v>12374</v>
      </c>
      <c r="G46" s="25"/>
    </row>
    <row r="47" spans="1:7" ht="67.5">
      <c r="A47" s="302"/>
      <c r="B47" s="160">
        <v>5.0999999999999996</v>
      </c>
      <c r="C47" s="149" t="s">
        <v>2232</v>
      </c>
      <c r="D47" s="161">
        <v>43070</v>
      </c>
      <c r="E47" s="169" t="s">
        <v>12862</v>
      </c>
      <c r="F47" s="27" t="s">
        <v>12863</v>
      </c>
      <c r="G47" s="25"/>
    </row>
    <row r="48" spans="1:7" ht="56.25">
      <c r="A48" s="302"/>
      <c r="B48" s="160">
        <v>5.1100000000000003</v>
      </c>
      <c r="C48" s="149" t="s">
        <v>13097</v>
      </c>
      <c r="D48" s="161">
        <v>43217</v>
      </c>
      <c r="E48" s="169" t="s">
        <v>13199</v>
      </c>
      <c r="F48" s="27" t="s">
        <v>13124</v>
      </c>
      <c r="G48" s="25"/>
    </row>
    <row r="49" spans="1:7" ht="56.25">
      <c r="A49" s="302"/>
      <c r="B49" s="160">
        <v>5.12</v>
      </c>
      <c r="C49" s="149" t="s">
        <v>13097</v>
      </c>
      <c r="D49" s="161">
        <v>43581</v>
      </c>
      <c r="E49" s="169" t="s">
        <v>13199</v>
      </c>
      <c r="F49" s="27" t="s">
        <v>13741</v>
      </c>
      <c r="G49" s="25"/>
    </row>
    <row r="50" spans="1:7" ht="78.75">
      <c r="A50" s="302"/>
      <c r="B50" s="202">
        <v>6</v>
      </c>
      <c r="C50" s="149" t="s">
        <v>13097</v>
      </c>
      <c r="D50" s="161">
        <v>43964</v>
      </c>
      <c r="E50" s="169" t="s">
        <v>13953</v>
      </c>
      <c r="F50" s="27" t="s">
        <v>13744</v>
      </c>
      <c r="G50" s="25"/>
    </row>
    <row r="51" spans="1:7" ht="45">
      <c r="A51" s="302"/>
      <c r="B51" s="160">
        <v>6.01</v>
      </c>
      <c r="C51" s="149" t="s">
        <v>13097</v>
      </c>
      <c r="D51" s="161">
        <v>43970</v>
      </c>
      <c r="E51" s="169" t="s">
        <v>15330</v>
      </c>
      <c r="F51" s="169" t="s">
        <v>13744</v>
      </c>
      <c r="G51" s="25"/>
    </row>
    <row r="52" spans="1:7" ht="45">
      <c r="A52" s="302"/>
      <c r="B52" s="160">
        <v>6.1</v>
      </c>
      <c r="C52" s="149" t="s">
        <v>13097</v>
      </c>
      <c r="D52" s="161">
        <v>44314</v>
      </c>
      <c r="E52" s="169" t="s">
        <v>15323</v>
      </c>
      <c r="F52" s="169" t="s">
        <v>14913</v>
      </c>
      <c r="G52" s="25"/>
    </row>
    <row r="53" spans="1:7" ht="45">
      <c r="A53" s="302"/>
      <c r="B53" s="160">
        <v>6.2</v>
      </c>
      <c r="C53" s="149" t="s">
        <v>13097</v>
      </c>
      <c r="D53" s="161">
        <v>44678</v>
      </c>
      <c r="E53" s="169" t="s">
        <v>15323</v>
      </c>
      <c r="F53" s="169" t="s">
        <v>15322</v>
      </c>
      <c r="G53" s="25"/>
    </row>
    <row r="54" spans="1:7" ht="45">
      <c r="A54" s="302"/>
      <c r="B54" s="160">
        <v>6.21</v>
      </c>
      <c r="C54" s="149" t="s">
        <v>13097</v>
      </c>
      <c r="D54" s="161">
        <v>44687</v>
      </c>
      <c r="E54" s="169" t="s">
        <v>15331</v>
      </c>
      <c r="F54" s="169" t="s">
        <v>15322</v>
      </c>
      <c r="G54" s="25"/>
    </row>
    <row r="55" spans="1:7" ht="45">
      <c r="A55" s="302"/>
      <c r="B55" s="160">
        <v>6.22</v>
      </c>
      <c r="C55" s="149" t="s">
        <v>13097</v>
      </c>
      <c r="D55" s="275">
        <v>44692</v>
      </c>
      <c r="E55" s="169" t="s">
        <v>15330</v>
      </c>
      <c r="F55" s="169" t="s">
        <v>15322</v>
      </c>
      <c r="G55" s="25"/>
    </row>
    <row r="56" spans="1:7" ht="56.25">
      <c r="A56" s="302"/>
      <c r="B56" s="202">
        <v>6.3</v>
      </c>
      <c r="C56" s="149" t="s">
        <v>13097</v>
      </c>
      <c r="D56" s="275">
        <v>45051</v>
      </c>
      <c r="E56" s="169" t="s">
        <v>15590</v>
      </c>
      <c r="F56" s="169" t="s">
        <v>15371</v>
      </c>
      <c r="G56" s="25"/>
    </row>
    <row r="57" spans="1:7" ht="45">
      <c r="A57" s="302"/>
      <c r="B57" s="160">
        <v>6.31</v>
      </c>
      <c r="C57" s="149" t="s">
        <v>13097</v>
      </c>
      <c r="D57" s="275">
        <v>45072</v>
      </c>
      <c r="E57" s="169" t="s">
        <v>15592</v>
      </c>
      <c r="F57" s="169" t="s">
        <v>15371</v>
      </c>
      <c r="G57" s="25"/>
    </row>
    <row r="58" spans="1:7" ht="40.5" customHeight="1">
      <c r="A58" s="302"/>
      <c r="B58" s="202">
        <v>6.4</v>
      </c>
      <c r="C58" s="149" t="s">
        <v>13097</v>
      </c>
      <c r="D58" s="275">
        <v>45408</v>
      </c>
      <c r="E58" s="169" t="s">
        <v>15594</v>
      </c>
      <c r="F58" s="169" t="s">
        <v>15593</v>
      </c>
      <c r="G58" s="25"/>
    </row>
    <row r="59" spans="1:7" ht="32.65" customHeight="1">
      <c r="A59" s="302"/>
      <c r="B59" s="202">
        <v>6.5</v>
      </c>
      <c r="C59" s="149" t="s">
        <v>13097</v>
      </c>
      <c r="D59" s="275">
        <v>45772</v>
      </c>
      <c r="E59" s="169" t="s">
        <v>15669</v>
      </c>
      <c r="F59" s="169" t="s">
        <v>15720</v>
      </c>
      <c r="G59" s="25"/>
    </row>
    <row r="60" spans="1:7" ht="13.5" thickBot="1">
      <c r="A60" s="303"/>
      <c r="B60" s="304" t="str">
        <f ca="1">OFFSET(L!$C$1,MATCH("General"&amp;"Cpy",L!$A:$A,0)-1,SL,,)</f>
        <v>© 2025 Responsible Minerals Initiative. All rights reserved.</v>
      </c>
      <c r="C60" s="304"/>
      <c r="D60" s="304"/>
      <c r="E60" s="304"/>
      <c r="F60" s="304"/>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4.150000000000006"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3.15"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B1" zoomScalePageLayoutView="70" workbookViewId="0">
      <selection activeCell="B3" sqref="B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57"/>
      <c r="G3" s="357"/>
      <c r="H3" s="357"/>
      <c r="I3" s="152"/>
      <c r="J3" s="138" t="s">
        <v>15733</v>
      </c>
      <c r="K3" s="36"/>
      <c r="L3" s="100"/>
      <c r="P3" s="45">
        <f>MATCH($D$3,LN,0)</f>
        <v>1</v>
      </c>
    </row>
    <row r="4" spans="1:34" ht="15.7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430</v>
      </c>
      <c r="P6" s="3"/>
      <c r="Q6" s="3"/>
      <c r="R6" s="3"/>
      <c r="S6" s="3"/>
      <c r="T6" s="3"/>
      <c r="U6" s="3"/>
      <c r="V6" s="3"/>
      <c r="W6" s="3"/>
      <c r="X6" s="3"/>
      <c r="Y6" s="3"/>
      <c r="Z6" s="3"/>
      <c r="AA6" s="3"/>
      <c r="AB6" s="3"/>
      <c r="AC6" s="3"/>
      <c r="AD6" s="3"/>
      <c r="AE6" s="3"/>
      <c r="AF6" s="3"/>
      <c r="AG6" s="3"/>
      <c r="AH6" s="3"/>
    </row>
    <row r="7" spans="1:34" ht="37.15" customHeight="1">
      <c r="A7" s="34"/>
      <c r="B7" s="362" t="str">
        <f ca="1">OFFSET(L!$C$1,MATCH("Declaration"&amp;ADDRESS(ROW(),COLUMN(),4),L!$A:$A,0)-1,SL,,)</f>
        <v>Company Information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47" t="s">
        <v>15817</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59" t="s">
        <v>481</v>
      </c>
      <c r="E9" s="360"/>
      <c r="F9" s="360"/>
      <c r="G9" s="361"/>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65" customHeight="1">
      <c r="A10" s="38"/>
      <c r="B10" s="363" t="str">
        <f ca="1">OFFSET(L!$C$1,MATCH("Declaration"&amp;ADDRESS(ROW(),COLUMN(),4)&amp;LEFT($D$9,1),L!$A:$A,0)-1,SL,,)</f>
        <v>Description of Scope:</v>
      </c>
      <c r="C10" s="122"/>
      <c r="D10" s="354" t="s">
        <v>15818</v>
      </c>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t="s">
        <v>15819</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15820</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5" t="s">
        <v>15821</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15822</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83" t="s">
        <v>15823</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t="s">
        <v>15824</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5" t="s">
        <v>15825</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23" t="s">
        <v>15822</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28">
        <v>45954</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26" t="s">
        <v>476</v>
      </c>
      <c r="E26" s="327"/>
      <c r="F26" s="12"/>
      <c r="G26" s="334"/>
      <c r="H26" s="335"/>
      <c r="I26" s="335"/>
      <c r="J26" s="336"/>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6" t="s">
        <v>475</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6" t="s">
        <v>476</v>
      </c>
      <c r="E29" s="327"/>
      <c r="F29" s="12"/>
      <c r="G29" s="334"/>
      <c r="H29" s="335"/>
      <c r="I29" s="335"/>
      <c r="J29" s="336"/>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1209</v>
      </c>
      <c r="P31" s="45">
        <f>COUNTIF(D$26:D$29,"No")</f>
        <v>2</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2"/>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6" t="s">
        <v>475</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6"/>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4"/>
      <c r="I37" s="374"/>
      <c r="J37" s="374"/>
      <c r="K37" s="36"/>
      <c r="L37" s="111" t="s">
        <v>1209</v>
      </c>
      <c r="P37" s="45">
        <f>COUNTIF(D$26:D$29,"No")+COUNTIF(D$32:D$35,"No")</f>
        <v>2</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26"/>
      <c r="E38" s="327"/>
      <c r="F38" s="47"/>
      <c r="G38" s="334"/>
      <c r="H38" s="335"/>
      <c r="I38" s="335"/>
      <c r="J38" s="336"/>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475</v>
      </c>
      <c r="E39" s="327"/>
      <c r="F39" s="47"/>
      <c r="G39" s="334" t="s">
        <v>15826</v>
      </c>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6" t="s">
        <v>475</v>
      </c>
      <c r="E40" s="327"/>
      <c r="F40" s="47"/>
      <c r="G40" s="334"/>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6"/>
      <c r="E41" s="327"/>
      <c r="F41" s="47"/>
      <c r="G41" s="334"/>
      <c r="H41" s="335"/>
      <c r="I41" s="335"/>
      <c r="J41" s="336"/>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2</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34"/>
      <c r="H44" s="335"/>
      <c r="I44" s="335"/>
      <c r="J44" s="336"/>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475</v>
      </c>
      <c r="E45" s="327"/>
      <c r="F45" s="47"/>
      <c r="G45" s="334" t="s">
        <v>15826</v>
      </c>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6" t="s">
        <v>475</v>
      </c>
      <c r="E46" s="327"/>
      <c r="F46" s="47"/>
      <c r="G46" s="334"/>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6"/>
      <c r="E47" s="327"/>
      <c r="F47" s="47"/>
      <c r="G47" s="334"/>
      <c r="H47" s="335"/>
      <c r="I47" s="335"/>
      <c r="J47" s="336"/>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26"/>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6" t="s">
        <v>476</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6"/>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68"/>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68" t="s">
        <v>15827</v>
      </c>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68" t="s">
        <v>15827</v>
      </c>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68"/>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3"/>
      <c r="I61" s="373"/>
      <c r="J61" s="373"/>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2"/>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475</v>
      </c>
      <c r="E63" s="327"/>
      <c r="F63" s="47"/>
      <c r="G63" s="334" t="s">
        <v>15828</v>
      </c>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6" t="s">
        <v>475</v>
      </c>
      <c r="E64" s="327"/>
      <c r="F64" s="47"/>
      <c r="G64" s="334" t="s">
        <v>15828</v>
      </c>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6"/>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3" t="str">
        <f>IF(Q75="(*)","Click here to enter smelter names","")</f>
        <v/>
      </c>
      <c r="I67" s="373"/>
      <c r="J67" s="373"/>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26"/>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34" t="s">
        <v>15828</v>
      </c>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6" t="s">
        <v>475</v>
      </c>
      <c r="E70" s="327"/>
      <c r="F70" s="48"/>
      <c r="G70" s="334" t="s">
        <v>15828</v>
      </c>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6"/>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6" t="str">
        <f ca="1">OFFSET(L!$C$1,MATCH("Declaration"&amp;ADDRESS(ROW(),COLUMN(),4),L!$A:$A,0)-1,SL,,)</f>
        <v>Answer the Following Questions at a Company Level</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34"/>
      <c r="H75" s="335"/>
      <c r="I75" s="335"/>
      <c r="J75" s="33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38" t="s">
        <v>15829</v>
      </c>
      <c r="H77" s="339"/>
      <c r="I77" s="339"/>
      <c r="J77" s="340"/>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476</v>
      </c>
      <c r="E79" s="327"/>
      <c r="F79" s="57"/>
      <c r="G79" s="334"/>
      <c r="H79" s="335"/>
      <c r="I79" s="335"/>
      <c r="J79" s="33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34"/>
      <c r="H81" s="335"/>
      <c r="I81" s="335"/>
      <c r="J81" s="33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34"/>
      <c r="H83" s="335"/>
      <c r="I83" s="335"/>
      <c r="J83" s="33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79" t="s">
        <v>475</v>
      </c>
      <c r="E85" s="380"/>
      <c r="F85" s="57"/>
      <c r="G85" s="334"/>
      <c r="H85" s="335"/>
      <c r="I85" s="335"/>
      <c r="J85" s="33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34"/>
      <c r="H87" s="335"/>
      <c r="I87" s="335"/>
      <c r="J87" s="33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34"/>
      <c r="H89" s="335"/>
      <c r="I89" s="335"/>
      <c r="J89" s="33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2025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
      </c>
      <c r="E96" s="282" t="str">
        <f>IF(AND(OR($D$26="Yes",$D$26=""),OR($D$32="Yes",$D$32="")),"100%","")</f>
        <v/>
      </c>
      <c r="G96" s="282" t="str">
        <f>IF(OR($D$26="Yes",$D$26=""),"Yes","")</f>
        <v/>
      </c>
    </row>
    <row r="97" spans="2:7" ht="13.5" hidden="1" customHeight="1">
      <c r="B97" s="56" t="s">
        <v>476</v>
      </c>
      <c r="D97" s="282" t="str">
        <f>IF(AND(OR($D$26="Yes",$D$26=""),OR($D$32="Yes",$D$32="")),"No","")</f>
        <v/>
      </c>
      <c r="E97" s="282" t="str">
        <f>IF(AND(OR($D$26="Yes",$D$26=""),OR($D$32="Yes",$D$32="")),"Greater than 90%","")</f>
        <v/>
      </c>
      <c r="G97" s="282" t="str">
        <f>IF(OR($D$26="Yes",$D$26=""),"No","")</f>
        <v/>
      </c>
    </row>
    <row r="98" spans="2:7" ht="15.75" hidden="1">
      <c r="B98" s="56" t="s">
        <v>477</v>
      </c>
      <c r="D98" s="282" t="str">
        <f>IF(AND(OR($D$26="Yes",$D$26=""),OR($D$32="Yes",$D$32="")),"Unknown","")</f>
        <v/>
      </c>
      <c r="E98" s="282" t="str">
        <f>IF(AND(OR($D$26="Yes",$D$26=""),OR($D$32="Yes",$D$32="")),"Greater than 75%","")</f>
        <v/>
      </c>
      <c r="G98" s="282" t="str">
        <f>IF(OR($D$27="Yes",$D$27=""),"Yes","")</f>
        <v>Yes</v>
      </c>
    </row>
    <row r="99" spans="2:7" ht="15.75" hidden="1">
      <c r="B99" s="188">
        <v>1</v>
      </c>
      <c r="D99" s="282" t="str">
        <f>IF(AND(OR($D$27="Yes",$D$27=""),OR($D$33="Yes",$D$33="")),"Yes","")</f>
        <v>Yes</v>
      </c>
      <c r="E99" s="282" t="str">
        <f>IF(AND(OR($D$26="Yes",$D$26=""),OR($D$32="Yes",$D$32="")),"Greater than 50%","")</f>
        <v/>
      </c>
      <c r="G99" s="282" t="str">
        <f>IF(OR($D$27="Yes",$D$27=""),"No","")</f>
        <v>No</v>
      </c>
    </row>
    <row r="100" spans="2:7" ht="15.75" hidden="1">
      <c r="B100" s="236" t="s">
        <v>2432</v>
      </c>
      <c r="D100" s="282" t="str">
        <f>IF(AND(OR($D$27="Yes",$D$27=""),OR($D$33="Yes",$D$33="")),"No","")</f>
        <v>No</v>
      </c>
      <c r="E100" s="282" t="str">
        <f>IF(AND(OR($D$26="Yes",$D$26=""),OR($D$32="Yes",$D$32="")),"50% or less","")</f>
        <v/>
      </c>
      <c r="G100" s="282" t="str">
        <f>IF(OR($D$28="Yes",$D$28=""),"Yes","")</f>
        <v>Yes</v>
      </c>
    </row>
    <row r="101" spans="2:7" ht="15.75" hidden="1">
      <c r="B101" s="236" t="s">
        <v>2433</v>
      </c>
      <c r="D101" s="282" t="str">
        <f>IF(AND(OR($D$27="Yes",$D$27=""),OR($D$33="Yes",$D$33="")),"Unknown","")</f>
        <v>Unknown</v>
      </c>
      <c r="E101" s="282" t="str">
        <f>IF(AND(OR($D$26="Yes",$D$26=""),OR($D$32="Yes",$D$32="")),"None","")</f>
        <v/>
      </c>
      <c r="G101" s="282" t="str">
        <f>IF(OR($D$28="Yes",$D$28=""),"No","")</f>
        <v>No</v>
      </c>
    </row>
    <row r="102" spans="2:7" ht="15.75" hidden="1">
      <c r="B102" s="236" t="s">
        <v>2434</v>
      </c>
      <c r="D102" s="282" t="str">
        <f>IF(AND(OR($D$28="Yes",$D$28=""),OR($D$34="Yes",$D$34="")),"Yes","")</f>
        <v>Yes</v>
      </c>
      <c r="E102" s="282" t="str">
        <f>IF(AND(OR($D$27="Yes",$D$27=""),OR($D$33="Yes",$D$33="")),"100%","")</f>
        <v>100%</v>
      </c>
      <c r="G102" s="282" t="str">
        <f>IF(OR($D$29="Yes",$D$29=""),"Yes","")</f>
        <v/>
      </c>
    </row>
    <row r="103" spans="2:7" ht="15.75" hidden="1">
      <c r="B103" s="236" t="s">
        <v>2435</v>
      </c>
      <c r="D103" s="282" t="str">
        <f>IF(AND(OR($D$28="Yes",$D$28=""),OR($D$34="Yes",$D$34="")),"No","")</f>
        <v>No</v>
      </c>
      <c r="E103" s="282" t="str">
        <f>IF(AND(OR($D$27="Yes",$D$27=""),OR($D$33="Yes",$D$33="")),"Greater than 90%","")</f>
        <v>Greater than 90%</v>
      </c>
      <c r="G103" s="282" t="str">
        <f>IF(OR($D$29="Yes",$D$29=""),"No","")</f>
        <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
      </c>
      <c r="E105" s="282" t="str">
        <f>IF(AND(OR($D$27="Yes",$D$27=""),OR($D$33="Yes",$D$33="")),"Greater than 50%","")</f>
        <v>Greater than 50%</v>
      </c>
    </row>
    <row r="106" spans="2:7" ht="15.75" hidden="1">
      <c r="B106" s="236" t="s">
        <v>12341</v>
      </c>
      <c r="D106" s="282" t="str">
        <f>IF(AND(OR($D$29="Yes",$D$29=""),OR($D$35="Yes",$D$35="")),"No","")</f>
        <v/>
      </c>
      <c r="E106" s="282" t="str">
        <f>IF(AND(OR($D$27="Yes",$D$27=""),OR($D$33="Yes",$D$33="")),"50% or less","")</f>
        <v>50% or less</v>
      </c>
    </row>
    <row r="107" spans="2:7" ht="15.75" hidden="1">
      <c r="B107" s="236" t="s">
        <v>476</v>
      </c>
      <c r="D107" s="282" t="str">
        <f>IF(AND(OR($D$29="Yes",$D$29=""),OR($D$35="Yes",$D$35="")),"Unknown","")</f>
        <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7B2B605F-625F-45DA-9BB7-CBFA832DF8FC}"/>
    <hyperlink ref="D20" r:id="rId4" xr:uid="{76835C3D-425C-4710-86CC-3638A4FA260F}"/>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73" zoomScaleNormal="100" zoomScalePageLayoutView="55" workbookViewId="0">
      <selection activeCell="F108" sqref="F108:F120"/>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6.149999999999999"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19.899999999999999" customHeight="1">
      <c r="A5" s="262" t="s">
        <v>744</v>
      </c>
      <c r="B5" s="182" t="s">
        <v>1099</v>
      </c>
      <c r="C5" s="186" t="s">
        <v>15830</v>
      </c>
      <c r="D5" s="230"/>
      <c r="E5" s="182" t="s">
        <v>2384</v>
      </c>
      <c r="F5" s="182" t="s">
        <v>744</v>
      </c>
      <c r="G5" s="182" t="s">
        <v>13177</v>
      </c>
      <c r="H5" s="183">
        <v>0</v>
      </c>
      <c r="I5" s="184" t="s">
        <v>1719</v>
      </c>
      <c r="J5" s="184" t="s">
        <v>1699</v>
      </c>
      <c r="K5" s="224"/>
      <c r="L5" s="224"/>
      <c r="M5" s="224"/>
      <c r="N5" s="224"/>
      <c r="O5" s="224"/>
      <c r="P5" s="185"/>
      <c r="Q5" s="225" t="s">
        <v>15831</v>
      </c>
      <c r="R5" s="182" t="str">
        <f ca="1">IF(ISERROR($V5),"",OFFSET('Smelter Look-up'!$C$4,$V5-4,0)&amp;"")</f>
        <v/>
      </c>
      <c r="S5" s="181" t="str">
        <f ca="1">IF(B5="","",IF(ISERROR(MATCH($E5,CL,0)),"Unknown",INDIRECT("'C'!$A$"&amp;MATCH($E5,CL,0)+1)))</f>
        <v>US</v>
      </c>
      <c r="T5" s="181" t="str">
        <f ca="1">IF(B5="","",IF(ISERROR(MATCH($J5,SorP!$B$1:$B$6226,0)),"",INDIRECT("'SorP'!$A$"&amp;MATCH($S5&amp;$J5,SorP!C:C,0))))</f>
        <v>US-PA</v>
      </c>
      <c r="U5" s="201"/>
      <c r="V5" s="226" t="e">
        <f>IF(C5="",NA(),IF(OR(C5="Smelter not listed",C5="Smelter not yet identified"),MATCH($B5&amp;$D5,'Smelter Look-up'!$J:$J,0),MATCH($B5&amp;$C5,'Smelter Look-up'!$J:$J,0)))</f>
        <v>#N/A</v>
      </c>
      <c r="X5" s="227">
        <f t="shared" ref="X5" si="0">IF(AND(C5="Smelter not listed",OR(LEN(D5)=0,LEN(E5)=0)),1,0)</f>
        <v>0</v>
      </c>
      <c r="AB5" s="228" t="str">
        <f t="shared" ref="AB5" si="1">B5&amp;C5</f>
        <v>TinAlpha</v>
      </c>
    </row>
    <row r="6" spans="1:34" s="227" customFormat="1" ht="19.899999999999999" customHeight="1">
      <c r="A6" s="262" t="s">
        <v>752</v>
      </c>
      <c r="B6" s="182" t="s">
        <v>1099</v>
      </c>
      <c r="C6" s="186" t="s">
        <v>793</v>
      </c>
      <c r="D6" s="230"/>
      <c r="E6" s="182" t="s">
        <v>1084</v>
      </c>
      <c r="F6" s="182" t="s">
        <v>752</v>
      </c>
      <c r="G6" s="182" t="s">
        <v>13177</v>
      </c>
      <c r="H6" s="183">
        <v>0</v>
      </c>
      <c r="I6" s="184" t="s">
        <v>1739</v>
      </c>
      <c r="J6" s="184" t="s">
        <v>8635</v>
      </c>
      <c r="K6" s="224"/>
      <c r="L6" s="224"/>
      <c r="M6" s="224"/>
      <c r="N6" s="224"/>
      <c r="O6" s="224"/>
      <c r="P6" s="185"/>
      <c r="Q6" s="225" t="s">
        <v>15832</v>
      </c>
      <c r="R6" s="182" t="str">
        <f ca="1">IF(ISERROR($V6),"",OFFSET('Smelter Look-up'!$C$4,$V6-4,0)&amp;"")</f>
        <v>Malaysia Smelting Corporation (MSC)</v>
      </c>
      <c r="S6" s="181" t="str">
        <f t="shared" ref="S6:S37" ca="1" si="2">IF(B6="","",IF(ISERROR(MATCH($E6,CL,0)),"Unknown",INDIRECT("'C'!$A$"&amp;MATCH($E6,CL,0)+1)))</f>
        <v>MY</v>
      </c>
      <c r="T6" s="181" t="str">
        <f ca="1">IF(B6="","",IF(ISERROR(MATCH($J6,SorP!$B$1:$B$6226,0)),"",INDIRECT("'SorP'!$A$"&amp;MATCH($S6&amp;$J6,SorP!C:C,0))))</f>
        <v>MY-07</v>
      </c>
      <c r="U6" s="201"/>
      <c r="V6" s="226">
        <f>IF(C6="",NA(),IF(OR(C6="Smelter not listed",C6="Smelter not yet identified"),MATCH($B6&amp;$D6,'Smelter Look-up'!$J:$J,0),MATCH($B6&amp;$C6,'Smelter Look-up'!$J:$J,0)))</f>
        <v>468</v>
      </c>
      <c r="X6" s="227">
        <f t="shared" ref="X6:X37" si="3">IF(AND(C6="Smelter not listed",OR(LEN(D6)=0,LEN(E6)=0)),1,0)</f>
        <v>0</v>
      </c>
      <c r="AB6" s="228" t="str">
        <f t="shared" ref="AB6:AB37" si="4">B6&amp;C6</f>
        <v>TinMalaysia Smelting Corporation (MSC)</v>
      </c>
    </row>
    <row r="7" spans="1:34" s="227" customFormat="1" ht="19.899999999999999" customHeight="1">
      <c r="A7" s="262" t="s">
        <v>754</v>
      </c>
      <c r="B7" s="182" t="s">
        <v>1099</v>
      </c>
      <c r="C7" s="186" t="s">
        <v>1003</v>
      </c>
      <c r="D7" s="230"/>
      <c r="E7" s="182" t="s">
        <v>851</v>
      </c>
      <c r="F7" s="182" t="s">
        <v>754</v>
      </c>
      <c r="G7" s="182" t="s">
        <v>13177</v>
      </c>
      <c r="H7" s="183">
        <v>0</v>
      </c>
      <c r="I7" s="184" t="s">
        <v>1743</v>
      </c>
      <c r="J7" s="184" t="s">
        <v>9062</v>
      </c>
      <c r="K7" s="224"/>
      <c r="L7" s="224"/>
      <c r="M7" s="224"/>
      <c r="N7" s="224"/>
      <c r="O7" s="224"/>
      <c r="P7" s="185"/>
      <c r="Q7" s="225" t="s">
        <v>15833</v>
      </c>
      <c r="R7" s="182" t="str">
        <f ca="1">IF(ISERROR($V7),"",OFFSET('Smelter Look-up'!$C$4,$V7-4,0)&amp;"")</f>
        <v>Minsur</v>
      </c>
      <c r="S7" s="181" t="str">
        <f t="shared" ca="1" si="2"/>
        <v>PE</v>
      </c>
      <c r="T7" s="181" t="str">
        <f ca="1">IF(B7="","",IF(ISERROR(MATCH($J7,SorP!$B$1:$B$6226,0)),"",INDIRECT("'SorP'!$A$"&amp;MATCH($S7&amp;$J7,SorP!C:C,0))))</f>
        <v>PE-ICA</v>
      </c>
      <c r="U7" s="201"/>
      <c r="V7" s="226">
        <f>IF(C7="",NA(),IF(OR(C7="Smelter not listed",C7="Smelter not yet identified"),MATCH($B7&amp;$D7,'Smelter Look-up'!$J:$J,0),MATCH($B7&amp;$C7,'Smelter Look-up'!$J:$J,0)))</f>
        <v>481</v>
      </c>
      <c r="X7" s="227">
        <f t="shared" si="3"/>
        <v>0</v>
      </c>
      <c r="AB7" s="228" t="str">
        <f t="shared" si="4"/>
        <v>TinMinsur</v>
      </c>
    </row>
    <row r="8" spans="1:34" s="227" customFormat="1" ht="19.899999999999999" customHeight="1">
      <c r="A8" s="262" t="s">
        <v>747</v>
      </c>
      <c r="B8" s="182" t="s">
        <v>1099</v>
      </c>
      <c r="C8" s="186" t="s">
        <v>788</v>
      </c>
      <c r="D8" s="230"/>
      <c r="E8" s="182" t="s">
        <v>853</v>
      </c>
      <c r="F8" s="182" t="s">
        <v>747</v>
      </c>
      <c r="G8" s="182" t="s">
        <v>13177</v>
      </c>
      <c r="H8" s="183">
        <v>0</v>
      </c>
      <c r="I8" s="184" t="s">
        <v>1730</v>
      </c>
      <c r="J8" s="184" t="s">
        <v>9448</v>
      </c>
      <c r="K8" s="224"/>
      <c r="L8" s="224"/>
      <c r="M8" s="224"/>
      <c r="N8" s="224"/>
      <c r="O8" s="224"/>
      <c r="P8" s="185"/>
      <c r="Q8" s="225" t="s">
        <v>15834</v>
      </c>
      <c r="R8" s="182" t="str">
        <f ca="1">IF(ISERROR($V8),"",OFFSET('Smelter Look-up'!$C$4,$V8-4,0)&amp;"")</f>
        <v>Fenix Metals</v>
      </c>
      <c r="S8" s="181" t="str">
        <f t="shared" ca="1" si="2"/>
        <v>PL</v>
      </c>
      <c r="T8" s="181" t="str">
        <f ca="1">IF(B8="","",IF(ISERROR(MATCH($J8,SorP!$B$1:$B$6226,0)),"",INDIRECT("'SorP'!$A$"&amp;MATCH($S8&amp;$J8,SorP!C:C,0))))</f>
        <v>PL-18</v>
      </c>
      <c r="U8" s="201"/>
      <c r="V8" s="226">
        <f>IF(C8="",NA(),IF(OR(C8="Smelter not listed",C8="Smelter not yet identified"),MATCH($B8&amp;$D8,'Smelter Look-up'!$J:$J,0),MATCH($B8&amp;$C8,'Smelter Look-up'!$J:$J,0)))</f>
        <v>437</v>
      </c>
      <c r="X8" s="227">
        <f t="shared" si="3"/>
        <v>0</v>
      </c>
      <c r="AB8" s="228" t="str">
        <f t="shared" si="4"/>
        <v>TinFenix Metals</v>
      </c>
    </row>
    <row r="9" spans="1:34" s="227" customFormat="1" ht="19.899999999999999" customHeight="1">
      <c r="A9" s="262" t="s">
        <v>758</v>
      </c>
      <c r="B9" s="182" t="s">
        <v>1099</v>
      </c>
      <c r="C9" s="186" t="s">
        <v>13715</v>
      </c>
      <c r="D9" s="230"/>
      <c r="E9" s="182" t="s">
        <v>2382</v>
      </c>
      <c r="F9" s="182" t="s">
        <v>758</v>
      </c>
      <c r="G9" s="182" t="s">
        <v>13177</v>
      </c>
      <c r="H9" s="183">
        <v>0</v>
      </c>
      <c r="I9" s="184" t="s">
        <v>1728</v>
      </c>
      <c r="J9" s="184" t="s">
        <v>1728</v>
      </c>
      <c r="K9" s="224"/>
      <c r="L9" s="224"/>
      <c r="M9" s="224"/>
      <c r="N9" s="224"/>
      <c r="O9" s="224"/>
      <c r="P9" s="185"/>
      <c r="Q9" s="225" t="s">
        <v>15831</v>
      </c>
      <c r="R9" s="182" t="str">
        <f ca="1">IF(ISERROR($V9),"",OFFSET('Smelter Look-up'!$C$4,$V9-4,0)&amp;"")</f>
        <v>Operaciones Metalurgicas S.A.</v>
      </c>
      <c r="S9" s="181" t="str">
        <f t="shared" ca="1" si="2"/>
        <v>BO</v>
      </c>
      <c r="T9" s="181" t="str">
        <f ca="1">IF(B9="","",IF(ISERROR(MATCH($J9,SorP!$B$1:$B$6226,0)),"",INDIRECT("'SorP'!$A$"&amp;MATCH($S9&amp;$J9,SorP!C:C,0))))</f>
        <v>BO-O</v>
      </c>
      <c r="U9" s="201"/>
      <c r="V9" s="226">
        <f>IF(C9="",NA(),IF(OR(C9="Smelter not listed",C9="Smelter not yet identified"),MATCH($B9&amp;$D9,'Smelter Look-up'!$J:$J,0),MATCH($B9&amp;$C9,'Smelter Look-up'!$J:$J,0)))</f>
        <v>493</v>
      </c>
      <c r="X9" s="227">
        <f t="shared" si="3"/>
        <v>0</v>
      </c>
      <c r="AB9" s="228" t="str">
        <f t="shared" si="4"/>
        <v>TinOperaciones Metalurgicas S.A.</v>
      </c>
    </row>
    <row r="10" spans="1:34" s="227" customFormat="1" ht="19.899999999999999" customHeight="1">
      <c r="A10" s="262" t="s">
        <v>753</v>
      </c>
      <c r="B10" s="182" t="s">
        <v>1099</v>
      </c>
      <c r="C10" s="186" t="s">
        <v>12377</v>
      </c>
      <c r="D10" s="230"/>
      <c r="E10" s="182" t="s">
        <v>1065</v>
      </c>
      <c r="F10" s="182" t="s">
        <v>753</v>
      </c>
      <c r="G10" s="182" t="s">
        <v>13177</v>
      </c>
      <c r="H10" s="183">
        <v>0</v>
      </c>
      <c r="I10" s="184" t="s">
        <v>15835</v>
      </c>
      <c r="J10" s="184" t="s">
        <v>1640</v>
      </c>
      <c r="K10" s="224"/>
      <c r="L10" s="224"/>
      <c r="M10" s="224"/>
      <c r="N10" s="224"/>
      <c r="O10" s="224"/>
      <c r="P10" s="185"/>
      <c r="Q10" s="225" t="s">
        <v>15836</v>
      </c>
      <c r="R10" s="182" t="str">
        <f ca="1">IF(ISERROR($V10),"",OFFSET('Smelter Look-up'!$C$4,$V10-4,0)&amp;"")</f>
        <v>Mineracao Taboca S.A.</v>
      </c>
      <c r="S10" s="181" t="str">
        <f t="shared" ca="1" si="2"/>
        <v>BR</v>
      </c>
      <c r="T10" s="181" t="str">
        <f ca="1">IF(B10="","",IF(ISERROR(MATCH($J10,SorP!$B$1:$B$6226,0)),"",INDIRECT("'SorP'!$A$"&amp;MATCH($S10&amp;$J10,SorP!C:C,0))))</f>
        <v>BR-SP</v>
      </c>
      <c r="U10" s="201"/>
      <c r="V10" s="226">
        <f>IF(C10="",NA(),IF(OR(C10="Smelter not listed",C10="Smelter not yet identified"),MATCH($B10&amp;$D10,'Smelter Look-up'!$J:$J,0),MATCH($B10&amp;$C10,'Smelter Look-up'!$J:$J,0)))</f>
        <v>476</v>
      </c>
      <c r="X10" s="227">
        <f t="shared" si="3"/>
        <v>0</v>
      </c>
      <c r="AB10" s="228" t="str">
        <f t="shared" si="4"/>
        <v>TinMineracao Taboca S.A.</v>
      </c>
    </row>
    <row r="11" spans="1:34" s="227" customFormat="1" ht="19.899999999999999" customHeight="1">
      <c r="A11" s="262" t="s">
        <v>766</v>
      </c>
      <c r="B11" s="182" t="s">
        <v>1099</v>
      </c>
      <c r="C11" s="186" t="s">
        <v>15303</v>
      </c>
      <c r="D11" s="230"/>
      <c r="E11" s="182" t="s">
        <v>1069</v>
      </c>
      <c r="F11" s="182" t="s">
        <v>766</v>
      </c>
      <c r="G11" s="182" t="s">
        <v>13177</v>
      </c>
      <c r="H11" s="183">
        <v>0</v>
      </c>
      <c r="I11" s="184" t="s">
        <v>2398</v>
      </c>
      <c r="J11" s="184" t="s">
        <v>13540</v>
      </c>
      <c r="K11" s="224"/>
      <c r="L11" s="224"/>
      <c r="M11" s="224"/>
      <c r="N11" s="224"/>
      <c r="O11" s="224"/>
      <c r="P11" s="185"/>
      <c r="Q11" s="225" t="s">
        <v>15832</v>
      </c>
      <c r="R11" s="182" t="str">
        <f ca="1">IF(ISERROR($V11),"",OFFSET('Smelter Look-up'!$C$4,$V11-4,0)&amp;"")</f>
        <v>Tin Smelting Branch of Yunnan Tin Co., Ltd.</v>
      </c>
      <c r="S11" s="181" t="str">
        <f t="shared" ca="1" si="2"/>
        <v>CN</v>
      </c>
      <c r="T11" s="181" t="str">
        <f ca="1">IF(B11="","",IF(ISERROR(MATCH($J11,SorP!$B$1:$B$6226,0)),"",INDIRECT("'SorP'!$A$"&amp;MATCH($S11&amp;$J11,SorP!C:C,0))))</f>
        <v>CN-YN</v>
      </c>
      <c r="U11" s="201"/>
      <c r="V11" s="226">
        <f>IF(C11="",NA(),IF(OR(C11="Smelter not listed",C11="Smelter not yet identified"),MATCH($B11&amp;$D11,'Smelter Look-up'!$J:$J,0),MATCH($B11&amp;$C11,'Smelter Look-up'!$J:$J,0)))</f>
        <v>524</v>
      </c>
      <c r="X11" s="227">
        <f t="shared" si="3"/>
        <v>0</v>
      </c>
      <c r="AB11" s="228" t="str">
        <f t="shared" si="4"/>
        <v>TinTin Smelting Branch of Yunnan Tin Co., Ltd.</v>
      </c>
    </row>
    <row r="12" spans="1:34" s="227" customFormat="1" ht="19.899999999999999" customHeight="1">
      <c r="A12" s="262" t="s">
        <v>14961</v>
      </c>
      <c r="B12" s="182" t="s">
        <v>1099</v>
      </c>
      <c r="C12" s="186" t="s">
        <v>14960</v>
      </c>
      <c r="D12" s="230"/>
      <c r="E12" s="182" t="s">
        <v>1065</v>
      </c>
      <c r="F12" s="182" t="s">
        <v>14961</v>
      </c>
      <c r="G12" s="182" t="s">
        <v>13177</v>
      </c>
      <c r="H12" s="183">
        <v>0</v>
      </c>
      <c r="I12" s="184" t="s">
        <v>14987</v>
      </c>
      <c r="J12" s="184" t="s">
        <v>1640</v>
      </c>
      <c r="K12" s="224"/>
      <c r="L12" s="224"/>
      <c r="M12" s="224"/>
      <c r="N12" s="224"/>
      <c r="O12" s="224"/>
      <c r="P12" s="185"/>
      <c r="Q12" s="225" t="s">
        <v>15837</v>
      </c>
      <c r="R12" s="182" t="str">
        <f ca="1">IF(ISERROR($V12),"",OFFSET('Smelter Look-up'!$C$4,$V12-4,0)&amp;"")</f>
        <v>Fabrica Auricchio Industria e Comercio Ltda.</v>
      </c>
      <c r="S12" s="181" t="str">
        <f t="shared" ca="1" si="2"/>
        <v>BR</v>
      </c>
      <c r="T12" s="181" t="str">
        <f ca="1">IF(B12="","",IF(ISERROR(MATCH($J12,SorP!$B$1:$B$6226,0)),"",INDIRECT("'SorP'!$A$"&amp;MATCH($S12&amp;$J12,SorP!C:C,0))))</f>
        <v>BR-SP</v>
      </c>
      <c r="U12" s="201"/>
      <c r="V12" s="226">
        <f>IF(C12="",NA(),IF(OR(C12="Smelter not listed",C12="Smelter not yet identified"),MATCH($B12&amp;$D12,'Smelter Look-up'!$J:$J,0),MATCH($B12&amp;$C12,'Smelter Look-up'!$J:$J,0)))</f>
        <v>436</v>
      </c>
      <c r="X12" s="227">
        <f t="shared" si="3"/>
        <v>0</v>
      </c>
      <c r="AB12" s="228" t="str">
        <f t="shared" si="4"/>
        <v>TinFabrica Auricchio Industria e Comercio Ltda.</v>
      </c>
    </row>
    <row r="13" spans="1:34" s="227" customFormat="1" ht="19.899999999999999" customHeight="1">
      <c r="A13" s="262" t="s">
        <v>2483</v>
      </c>
      <c r="B13" s="182" t="s">
        <v>1099</v>
      </c>
      <c r="C13" s="186" t="s">
        <v>2482</v>
      </c>
      <c r="D13" s="230"/>
      <c r="E13" s="182" t="s">
        <v>1065</v>
      </c>
      <c r="F13" s="182" t="s">
        <v>2483</v>
      </c>
      <c r="G13" s="182" t="s">
        <v>13177</v>
      </c>
      <c r="H13" s="183">
        <v>0</v>
      </c>
      <c r="I13" s="184" t="s">
        <v>2491</v>
      </c>
      <c r="J13" s="184" t="s">
        <v>1640</v>
      </c>
      <c r="K13" s="224"/>
      <c r="L13" s="224"/>
      <c r="M13" s="224"/>
      <c r="N13" s="224"/>
      <c r="O13" s="224"/>
      <c r="P13" s="185"/>
      <c r="Q13" s="225" t="s">
        <v>15838</v>
      </c>
      <c r="R13" s="182" t="str">
        <f ca="1">IF(ISERROR($V13),"",OFFSET('Smelter Look-up'!$C$4,$V13-4,0)&amp;"")</f>
        <v>Super Ligas</v>
      </c>
      <c r="S13" s="181" t="str">
        <f t="shared" ca="1" si="2"/>
        <v>BR</v>
      </c>
      <c r="T13" s="181" t="str">
        <f ca="1">IF(B13="","",IF(ISERROR(MATCH($J13,SorP!$B$1:$B$6226,0)),"",INDIRECT("'SorP'!$A$"&amp;MATCH($S13&amp;$J13,SorP!C:C,0))))</f>
        <v>BR-SP</v>
      </c>
      <c r="U13" s="201"/>
      <c r="V13" s="226">
        <f>IF(C13="",NA(),IF(OR(C13="Smelter not listed",C13="Smelter not yet identified"),MATCH($B13&amp;$D13,'Smelter Look-up'!$J:$J,0),MATCH($B13&amp;$C13,'Smelter Look-up'!$J:$J,0)))</f>
        <v>517</v>
      </c>
      <c r="X13" s="227">
        <f t="shared" si="3"/>
        <v>0</v>
      </c>
      <c r="AB13" s="228" t="str">
        <f t="shared" si="4"/>
        <v>TinSuper Ligas</v>
      </c>
    </row>
    <row r="14" spans="1:34" s="227" customFormat="1" ht="19.899999999999999" customHeight="1">
      <c r="A14" s="262" t="s">
        <v>2481</v>
      </c>
      <c r="B14" s="182" t="s">
        <v>1099</v>
      </c>
      <c r="C14" s="186" t="s">
        <v>2480</v>
      </c>
      <c r="D14" s="230"/>
      <c r="E14" s="182" t="s">
        <v>1069</v>
      </c>
      <c r="F14" s="182" t="s">
        <v>2481</v>
      </c>
      <c r="G14" s="182" t="s">
        <v>13177</v>
      </c>
      <c r="H14" s="183">
        <v>0</v>
      </c>
      <c r="I14" s="184" t="s">
        <v>1781</v>
      </c>
      <c r="J14" s="184" t="s">
        <v>13536</v>
      </c>
      <c r="K14" s="224"/>
      <c r="L14" s="224"/>
      <c r="M14" s="224"/>
      <c r="N14" s="224"/>
      <c r="O14" s="224"/>
      <c r="P14" s="185"/>
      <c r="Q14" s="225" t="s">
        <v>15831</v>
      </c>
      <c r="R14" s="182" t="str">
        <f ca="1">IF(ISERROR($V14),"",OFFSET('Smelter Look-up'!$C$4,$V14-4,0)&amp;"")</f>
        <v>Guangdong Hanhe Non-Ferrous Metal Co., Ltd.</v>
      </c>
      <c r="S14" s="181" t="str">
        <f t="shared" ca="1" si="2"/>
        <v>CN</v>
      </c>
      <c r="T14" s="181" t="str">
        <f ca="1">IF(B14="","",IF(ISERROR(MATCH($J14,SorP!$B$1:$B$6226,0)),"",INDIRECT("'SorP'!$A$"&amp;MATCH($S14&amp;$J14,SorP!C:C,0))))</f>
        <v>CN-GD</v>
      </c>
      <c r="U14" s="201"/>
      <c r="V14" s="226">
        <f>IF(C14="",NA(),IF(OR(C14="Smelter not listed",C14="Smelter not yet identified"),MATCH($B14&amp;$D14,'Smelter Look-up'!$J:$J,0),MATCH($B14&amp;$C14,'Smelter Look-up'!$J:$J,0)))</f>
        <v>450</v>
      </c>
      <c r="X14" s="227">
        <f t="shared" si="3"/>
        <v>0</v>
      </c>
      <c r="AB14" s="228" t="str">
        <f t="shared" si="4"/>
        <v>TinGuangdong Hanhe Non-Ferrous Metal Co., Ltd.</v>
      </c>
    </row>
    <row r="15" spans="1:34" s="227" customFormat="1" ht="19.899999999999999" customHeight="1">
      <c r="A15" s="262" t="s">
        <v>2230</v>
      </c>
      <c r="B15" s="182" t="s">
        <v>1099</v>
      </c>
      <c r="C15" s="186" t="s">
        <v>2287</v>
      </c>
      <c r="D15" s="230"/>
      <c r="E15" s="182" t="s">
        <v>1069</v>
      </c>
      <c r="F15" s="182" t="s">
        <v>2230</v>
      </c>
      <c r="G15" s="182" t="s">
        <v>13177</v>
      </c>
      <c r="H15" s="183">
        <v>0</v>
      </c>
      <c r="I15" s="184" t="s">
        <v>1733</v>
      </c>
      <c r="J15" s="184" t="s">
        <v>13535</v>
      </c>
      <c r="K15" s="224"/>
      <c r="L15" s="224"/>
      <c r="M15" s="224"/>
      <c r="N15" s="224"/>
      <c r="O15" s="224"/>
      <c r="P15" s="185"/>
      <c r="Q15" s="225" t="s">
        <v>15831</v>
      </c>
      <c r="R15" s="182" t="str">
        <f ca="1">IF(ISERROR($V15),"",OFFSET('Smelter Look-up'!$C$4,$V15-4,0)&amp;"")</f>
        <v>Chenzhou Yunxiang Mining and Metallurgy Co., Ltd.</v>
      </c>
      <c r="S15" s="181" t="str">
        <f t="shared" ca="1" si="2"/>
        <v>CN</v>
      </c>
      <c r="T15" s="181" t="str">
        <f ca="1">IF(B15="","",IF(ISERROR(MATCH($J15,SorP!$B$1:$B$6226,0)),"",INDIRECT("'SorP'!$A$"&amp;MATCH($S15&amp;$J15,SorP!C:C,0))))</f>
        <v>CN-HN</v>
      </c>
      <c r="U15" s="201"/>
      <c r="V15" s="226">
        <f>IF(C15="",NA(),IF(OR(C15="Smelter not listed",C15="Smelter not yet identified"),MATCH($B15&amp;$D15,'Smelter Look-up'!$J:$J,0),MATCH($B15&amp;$C15,'Smelter Look-up'!$J:$J,0)))</f>
        <v>408</v>
      </c>
      <c r="X15" s="227">
        <f t="shared" si="3"/>
        <v>0</v>
      </c>
      <c r="AB15" s="228" t="str">
        <f t="shared" si="4"/>
        <v>TinChenzhou Yunxiang Mining and Metallurgy Co., Ltd.</v>
      </c>
    </row>
    <row r="16" spans="1:34" s="227" customFormat="1" ht="19.899999999999999" customHeight="1">
      <c r="A16" s="262" t="s">
        <v>1374</v>
      </c>
      <c r="B16" s="182" t="s">
        <v>1099</v>
      </c>
      <c r="C16" s="186" t="s">
        <v>877</v>
      </c>
      <c r="D16" s="230"/>
      <c r="E16" s="182" t="s">
        <v>1077</v>
      </c>
      <c r="F16" s="182" t="s">
        <v>1374</v>
      </c>
      <c r="G16" s="182" t="s">
        <v>13177</v>
      </c>
      <c r="H16" s="183">
        <v>0</v>
      </c>
      <c r="I16" s="184" t="s">
        <v>1541</v>
      </c>
      <c r="J16" s="184" t="s">
        <v>1542</v>
      </c>
      <c r="K16" s="224"/>
      <c r="L16" s="224"/>
      <c r="M16" s="224"/>
      <c r="N16" s="224"/>
      <c r="O16" s="224"/>
      <c r="P16" s="185"/>
      <c r="Q16" s="225" t="s">
        <v>15836</v>
      </c>
      <c r="R16" s="182" t="str">
        <f ca="1">IF(ISERROR($V16),"",OFFSET('Smelter Look-up'!$C$4,$V16-4,0)&amp;"")</f>
        <v>Dowa</v>
      </c>
      <c r="S16" s="181" t="str">
        <f t="shared" ca="1" si="2"/>
        <v>JP</v>
      </c>
      <c r="T16" s="181" t="str">
        <f ca="1">IF(B16="","",IF(ISERROR(MATCH($J16,SorP!$B$1:$B$6226,0)),"",INDIRECT("'SorP'!$A$"&amp;MATCH($S16&amp;$J16,SorP!C:C,0))))</f>
        <v>JP-05</v>
      </c>
      <c r="U16" s="201"/>
      <c r="V16" s="226">
        <f>IF(C16="",NA(),IF(OR(C16="Smelter not listed",C16="Smelter not yet identified"),MATCH($B16&amp;$D16,'Smelter Look-up'!$J:$J,0),MATCH($B16&amp;$C16,'Smelter Look-up'!$J:$J,0)))</f>
        <v>425</v>
      </c>
      <c r="X16" s="227">
        <f t="shared" si="3"/>
        <v>0</v>
      </c>
      <c r="AB16" s="228" t="str">
        <f t="shared" si="4"/>
        <v>TinDowa</v>
      </c>
    </row>
    <row r="17" spans="1:28" s="227" customFormat="1" ht="19.899999999999999" customHeight="1">
      <c r="A17" s="262" t="s">
        <v>755</v>
      </c>
      <c r="B17" s="182" t="s">
        <v>1099</v>
      </c>
      <c r="C17" s="186" t="s">
        <v>1131</v>
      </c>
      <c r="D17" s="230"/>
      <c r="E17" s="182" t="s">
        <v>1077</v>
      </c>
      <c r="F17" s="182" t="s">
        <v>755</v>
      </c>
      <c r="G17" s="182" t="s">
        <v>13177</v>
      </c>
      <c r="H17" s="183">
        <v>0</v>
      </c>
      <c r="I17" s="184" t="s">
        <v>15643</v>
      </c>
      <c r="J17" s="184" t="s">
        <v>1518</v>
      </c>
      <c r="K17" s="224"/>
      <c r="L17" s="224"/>
      <c r="M17" s="224"/>
      <c r="N17" s="224"/>
      <c r="O17" s="224"/>
      <c r="P17" s="185"/>
      <c r="Q17" s="225" t="s">
        <v>15831</v>
      </c>
      <c r="R17" s="182" t="str">
        <f ca="1">IF(ISERROR($V17),"",OFFSET('Smelter Look-up'!$C$4,$V17-4,0)&amp;"")</f>
        <v>Mitsubishi Materials Corporation</v>
      </c>
      <c r="S17" s="181" t="str">
        <f t="shared" ca="1" si="2"/>
        <v>JP</v>
      </c>
      <c r="T17" s="181" t="str">
        <f ca="1">IF(B17="","",IF(ISERROR(MATCH($J17,SorP!$B$1:$B$6226,0)),"",INDIRECT("'SorP'!$A$"&amp;MATCH($S17&amp;$J17,SorP!C:C,0))))</f>
        <v>JP-28</v>
      </c>
      <c r="U17" s="201"/>
      <c r="V17" s="226">
        <f>IF(C17="",NA(),IF(OR(C17="Smelter not listed",C17="Smelter not yet identified"),MATCH($B17&amp;$D17,'Smelter Look-up'!$J:$J,0),MATCH($B17&amp;$C17,'Smelter Look-up'!$J:$J,0)))</f>
        <v>482</v>
      </c>
      <c r="X17" s="227">
        <f t="shared" si="3"/>
        <v>0</v>
      </c>
      <c r="AB17" s="228" t="str">
        <f t="shared" si="4"/>
        <v>TinMitsubishi Materials Corporation</v>
      </c>
    </row>
    <row r="18" spans="1:28" s="227" customFormat="1" ht="19.899999999999999" customHeight="1">
      <c r="A18" s="181" t="s">
        <v>763</v>
      </c>
      <c r="B18" s="182" t="s">
        <v>1099</v>
      </c>
      <c r="C18" s="186" t="s">
        <v>1000</v>
      </c>
      <c r="D18" s="230"/>
      <c r="E18" s="182" t="s">
        <v>859</v>
      </c>
      <c r="F18" s="182" t="s">
        <v>763</v>
      </c>
      <c r="G18" s="182" t="s">
        <v>13177</v>
      </c>
      <c r="H18" s="183">
        <v>0</v>
      </c>
      <c r="I18" s="184" t="s">
        <v>1752</v>
      </c>
      <c r="J18" s="184" t="s">
        <v>1753</v>
      </c>
      <c r="K18" s="224"/>
      <c r="L18" s="224"/>
      <c r="M18" s="224"/>
      <c r="N18" s="224"/>
      <c r="O18" s="224"/>
      <c r="P18" s="185"/>
      <c r="Q18" s="225" t="s">
        <v>15834</v>
      </c>
      <c r="R18" s="182" t="str">
        <f ca="1">IF(ISERROR($V18),"",OFFSET('Smelter Look-up'!$C$4,$V18-4,0)&amp;"")</f>
        <v>Thaisarco</v>
      </c>
      <c r="S18" s="181" t="str">
        <f t="shared" ca="1" si="2"/>
        <v>TH</v>
      </c>
      <c r="T18" s="181" t="str">
        <f ca="1">IF(B18="","",IF(ISERROR(MATCH($J18,SorP!$B$1:$B$6226,0)),"",INDIRECT("'SorP'!$A$"&amp;MATCH($S18&amp;$J18,SorP!C:C,0))))</f>
        <v>TH-83</v>
      </c>
      <c r="U18" s="201"/>
      <c r="V18" s="226">
        <f>IF(C18="",NA(),IF(OR(C18="Smelter not listed",C18="Smelter not yet identified"),MATCH($B18&amp;$D18,'Smelter Look-up'!$J:$J,0),MATCH($B18&amp;$C18,'Smelter Look-up'!$J:$J,0)))</f>
        <v>521</v>
      </c>
      <c r="X18" s="227">
        <f t="shared" si="3"/>
        <v>0</v>
      </c>
      <c r="AB18" s="228" t="str">
        <f t="shared" si="4"/>
        <v>TinThaisarco</v>
      </c>
    </row>
    <row r="19" spans="1:28" s="227" customFormat="1" ht="76.5">
      <c r="A19" s="181" t="s">
        <v>764</v>
      </c>
      <c r="B19" s="182" t="s">
        <v>1099</v>
      </c>
      <c r="C19" s="186" t="s">
        <v>2484</v>
      </c>
      <c r="D19" s="230"/>
      <c r="E19" s="182" t="s">
        <v>1065</v>
      </c>
      <c r="F19" s="182" t="s">
        <v>764</v>
      </c>
      <c r="G19" s="182" t="s">
        <v>13177</v>
      </c>
      <c r="H19" s="183">
        <v>0</v>
      </c>
      <c r="I19" s="184" t="s">
        <v>1725</v>
      </c>
      <c r="J19" s="184" t="s">
        <v>1729</v>
      </c>
      <c r="K19" s="224"/>
      <c r="L19" s="224"/>
      <c r="M19" s="224"/>
      <c r="N19" s="224"/>
      <c r="O19" s="224"/>
      <c r="P19" s="185"/>
      <c r="Q19" s="225" t="s">
        <v>15839</v>
      </c>
      <c r="R19" s="182" t="str">
        <f ca="1">IF(ISERROR($V19),"",OFFSET('Smelter Look-up'!$C$4,$V19-4,0)&amp;"")</f>
        <v>White Solder Metalurgia e Mineracao Ltda.</v>
      </c>
      <c r="S19" s="181" t="str">
        <f t="shared" ca="1" si="2"/>
        <v>BR</v>
      </c>
      <c r="T19" s="181" t="str">
        <f ca="1">IF(B19="","",IF(ISERROR(MATCH($J19,SorP!$B$1:$B$6226,0)),"",INDIRECT("'SorP'!$A$"&amp;MATCH($S19&amp;$J19,SorP!C:C,0))))</f>
        <v>BR-RO</v>
      </c>
      <c r="U19" s="201"/>
      <c r="V19" s="226">
        <f>IF(C19="",NA(),IF(OR(C19="Smelter not listed",C19="Smelter not yet identified"),MATCH($B19&amp;$D19,'Smelter Look-up'!$J:$J,0),MATCH($B19&amp;$C19,'Smelter Look-up'!$J:$J,0)))</f>
        <v>530</v>
      </c>
      <c r="X19" s="227">
        <f t="shared" si="3"/>
        <v>0</v>
      </c>
      <c r="AB19" s="228" t="str">
        <f t="shared" si="4"/>
        <v>TinWhite Solder Metalurgia e Mineracao Ltda.</v>
      </c>
    </row>
    <row r="20" spans="1:28" s="227" customFormat="1" ht="38.25">
      <c r="A20" s="181" t="s">
        <v>745</v>
      </c>
      <c r="B20" s="182" t="s">
        <v>1099</v>
      </c>
      <c r="C20" s="186" t="s">
        <v>814</v>
      </c>
      <c r="D20" s="230"/>
      <c r="E20" s="182" t="s">
        <v>2382</v>
      </c>
      <c r="F20" s="182" t="s">
        <v>745</v>
      </c>
      <c r="G20" s="182" t="s">
        <v>13177</v>
      </c>
      <c r="H20" s="183">
        <v>0</v>
      </c>
      <c r="I20" s="184" t="s">
        <v>1728</v>
      </c>
      <c r="J20" s="184" t="s">
        <v>1728</v>
      </c>
      <c r="K20" s="224"/>
      <c r="L20" s="224"/>
      <c r="M20" s="224"/>
      <c r="N20" s="224"/>
      <c r="O20" s="224"/>
      <c r="P20" s="185"/>
      <c r="Q20" s="225" t="s">
        <v>15836</v>
      </c>
      <c r="R20" s="182" t="str">
        <f ca="1">IF(ISERROR($V20),"",OFFSET('Smelter Look-up'!$C$4,$V20-4,0)&amp;"")</f>
        <v>EM Vinto</v>
      </c>
      <c r="S20" s="181" t="str">
        <f t="shared" ca="1" si="2"/>
        <v>BO</v>
      </c>
      <c r="T20" s="181" t="str">
        <f ca="1">IF(B20="","",IF(ISERROR(MATCH($J20,SorP!$B$1:$B$6226,0)),"",INDIRECT("'SorP'!$A$"&amp;MATCH($S20&amp;$J20,SorP!C:C,0))))</f>
        <v>BO-O</v>
      </c>
      <c r="U20" s="201"/>
      <c r="V20" s="226">
        <f>IF(C20="",NA(),IF(OR(C20="Smelter not listed",C20="Smelter not yet identified"),MATCH($B20&amp;$D20,'Smelter Look-up'!$J:$J,0),MATCH($B20&amp;$C20,'Smelter Look-up'!$J:$J,0)))</f>
        <v>428</v>
      </c>
      <c r="X20" s="227">
        <f t="shared" si="3"/>
        <v>0</v>
      </c>
      <c r="AB20" s="228" t="str">
        <f t="shared" si="4"/>
        <v>TinEM Vinto</v>
      </c>
    </row>
    <row r="21" spans="1:28" s="227" customFormat="1" ht="89.25">
      <c r="A21" s="181" t="s">
        <v>748</v>
      </c>
      <c r="B21" s="182" t="s">
        <v>1099</v>
      </c>
      <c r="C21" s="186" t="s">
        <v>2099</v>
      </c>
      <c r="D21" s="230"/>
      <c r="E21" s="182" t="s">
        <v>1069</v>
      </c>
      <c r="F21" s="182" t="s">
        <v>748</v>
      </c>
      <c r="G21" s="182" t="s">
        <v>13177</v>
      </c>
      <c r="H21" s="183">
        <v>0</v>
      </c>
      <c r="I21" s="184" t="s">
        <v>2398</v>
      </c>
      <c r="J21" s="184" t="s">
        <v>13540</v>
      </c>
      <c r="K21" s="224"/>
      <c r="L21" s="224"/>
      <c r="M21" s="224"/>
      <c r="N21" s="224"/>
      <c r="O21" s="224"/>
      <c r="P21" s="185"/>
      <c r="Q21" s="225" t="s">
        <v>15831</v>
      </c>
      <c r="R21" s="182" t="str">
        <f ca="1">IF(ISERROR($V21),"",OFFSET('Smelter Look-up'!$C$4,$V21-4,0)&amp;"")</f>
        <v>Gejiu Non-Ferrous Metal Processing Co., Ltd.</v>
      </c>
      <c r="S21" s="181" t="str">
        <f t="shared" ca="1" si="2"/>
        <v>CN</v>
      </c>
      <c r="T21" s="181" t="str">
        <f ca="1">IF(B21="","",IF(ISERROR(MATCH($J21,SorP!$B$1:$B$6226,0)),"",INDIRECT("'SorP'!$A$"&amp;MATCH($S21&amp;$J21,SorP!C:C,0))))</f>
        <v>CN-YN</v>
      </c>
      <c r="U21" s="201"/>
      <c r="V21" s="226">
        <f>IF(C21="",NA(),IF(OR(C21="Smelter not listed",C21="Smelter not yet identified"),MATCH($B21&amp;$D21,'Smelter Look-up'!$J:$J,0),MATCH($B21&amp;$C21,'Smelter Look-up'!$J:$J,0)))</f>
        <v>443</v>
      </c>
      <c r="X21" s="227">
        <f t="shared" si="3"/>
        <v>0</v>
      </c>
      <c r="AB21" s="228" t="str">
        <f t="shared" si="4"/>
        <v>TinGejiu Non-Ferrous Metal Processing Co., Ltd.</v>
      </c>
    </row>
    <row r="22" spans="1:28" s="227" customFormat="1" ht="51">
      <c r="A22" s="181" t="s">
        <v>1740</v>
      </c>
      <c r="B22" s="182" t="s">
        <v>1099</v>
      </c>
      <c r="C22" s="186" t="s">
        <v>2104</v>
      </c>
      <c r="D22" s="230"/>
      <c r="E22" s="182" t="s">
        <v>2384</v>
      </c>
      <c r="F22" s="182" t="s">
        <v>1740</v>
      </c>
      <c r="G22" s="182" t="s">
        <v>13177</v>
      </c>
      <c r="H22" s="183">
        <v>0</v>
      </c>
      <c r="I22" s="184" t="s">
        <v>1741</v>
      </c>
      <c r="J22" s="184" t="s">
        <v>1601</v>
      </c>
      <c r="K22" s="224"/>
      <c r="L22" s="224"/>
      <c r="M22" s="224"/>
      <c r="N22" s="224"/>
      <c r="O22" s="224"/>
      <c r="P22" s="185"/>
      <c r="Q22" s="225" t="s">
        <v>15836</v>
      </c>
      <c r="R22" s="182" t="str">
        <f ca="1">IF(ISERROR($V22),"",OFFSET('Smelter Look-up'!$C$4,$V22-4,0)&amp;"")</f>
        <v>Metallic Resources, Inc.</v>
      </c>
      <c r="S22" s="181" t="str">
        <f t="shared" ca="1" si="2"/>
        <v>US</v>
      </c>
      <c r="T22" s="181" t="str">
        <f ca="1">IF(B22="","",IF(ISERROR(MATCH($J22,SorP!$B$1:$B$6226,0)),"",INDIRECT("'SorP'!$A$"&amp;MATCH($S22&amp;$J22,SorP!C:C,0))))</f>
        <v>US-OH</v>
      </c>
      <c r="U22" s="201"/>
      <c r="V22" s="226">
        <f>IF(C22="",NA(),IF(OR(C22="Smelter not listed",C22="Smelter not yet identified"),MATCH($B22&amp;$D22,'Smelter Look-up'!$J:$J,0),MATCH($B22&amp;$C22,'Smelter Look-up'!$J:$J,0)))</f>
        <v>473</v>
      </c>
      <c r="X22" s="227">
        <f t="shared" si="3"/>
        <v>0</v>
      </c>
      <c r="AB22" s="228" t="str">
        <f t="shared" si="4"/>
        <v>TinMetallic Resources, Inc.</v>
      </c>
    </row>
    <row r="23" spans="1:28" s="227" customFormat="1" ht="63.75">
      <c r="A23" s="181" t="s">
        <v>1746</v>
      </c>
      <c r="B23" s="182" t="s">
        <v>1099</v>
      </c>
      <c r="C23" s="186" t="s">
        <v>13119</v>
      </c>
      <c r="D23" s="230"/>
      <c r="E23" s="182" t="s">
        <v>1069</v>
      </c>
      <c r="F23" s="182" t="s">
        <v>1746</v>
      </c>
      <c r="G23" s="182" t="s">
        <v>13177</v>
      </c>
      <c r="H23" s="183">
        <v>0</v>
      </c>
      <c r="I23" s="184" t="s">
        <v>1732</v>
      </c>
      <c r="J23" s="184" t="s">
        <v>13531</v>
      </c>
      <c r="K23" s="224"/>
      <c r="L23" s="224"/>
      <c r="M23" s="224"/>
      <c r="N23" s="224"/>
      <c r="O23" s="224"/>
      <c r="P23" s="185"/>
      <c r="Q23" s="225" t="s">
        <v>15837</v>
      </c>
      <c r="R23" s="182" t="str">
        <f ca="1">IF(ISERROR($V23),"",OFFSET('Smelter Look-up'!$C$4,$V23-4,0)&amp;"")</f>
        <v>Jiangxi New Nanshan Technology Ltd.</v>
      </c>
      <c r="S23" s="181" t="str">
        <f t="shared" ca="1" si="2"/>
        <v>CN</v>
      </c>
      <c r="T23" s="181" t="str">
        <f ca="1">IF(B23="","",IF(ISERROR(MATCH($J23,SorP!$B$1:$B$6226,0)),"",INDIRECT("'SorP'!$A$"&amp;MATCH($S23&amp;$J23,SorP!C:C,0))))</f>
        <v>CN-JX</v>
      </c>
      <c r="U23" s="201"/>
      <c r="V23" s="226">
        <f>IF(C23="",NA(),IF(OR(C23="Smelter not listed",C23="Smelter not yet identified"),MATCH($B23&amp;$D23,'Smelter Look-up'!$J:$J,0),MATCH($B23&amp;$C23,'Smelter Look-up'!$J:$J,0)))</f>
        <v>458</v>
      </c>
      <c r="X23" s="227">
        <f t="shared" si="3"/>
        <v>0</v>
      </c>
      <c r="AB23" s="228" t="str">
        <f t="shared" si="4"/>
        <v>TinJiangxi New Nanshan Technology Ltd.</v>
      </c>
    </row>
    <row r="24" spans="1:28" s="227" customFormat="1" ht="102">
      <c r="A24" s="181" t="s">
        <v>765</v>
      </c>
      <c r="B24" s="182" t="s">
        <v>1099</v>
      </c>
      <c r="C24" s="186" t="s">
        <v>2120</v>
      </c>
      <c r="D24" s="230"/>
      <c r="E24" s="182" t="s">
        <v>1069</v>
      </c>
      <c r="F24" s="182" t="s">
        <v>765</v>
      </c>
      <c r="G24" s="182" t="s">
        <v>13177</v>
      </c>
      <c r="H24" s="183">
        <v>0</v>
      </c>
      <c r="I24" s="184" t="s">
        <v>2398</v>
      </c>
      <c r="J24" s="184" t="s">
        <v>13540</v>
      </c>
      <c r="K24" s="224"/>
      <c r="L24" s="224"/>
      <c r="M24" s="224"/>
      <c r="N24" s="224"/>
      <c r="O24" s="224"/>
      <c r="P24" s="185"/>
      <c r="Q24" s="225" t="s">
        <v>15832</v>
      </c>
      <c r="R24" s="182" t="str">
        <f ca="1">IF(ISERROR($V24),"",OFFSET('Smelter Look-up'!$C$4,$V24-4,0)&amp;"")</f>
        <v>Yunnan Chengfeng Non-ferrous Metals Co., Ltd.</v>
      </c>
      <c r="S24" s="181" t="str">
        <f t="shared" ca="1" si="2"/>
        <v>CN</v>
      </c>
      <c r="T24" s="181" t="str">
        <f ca="1">IF(B24="","",IF(ISERROR(MATCH($J24,SorP!$B$1:$B$6226,0)),"",INDIRECT("'SorP'!$A$"&amp;MATCH($S24&amp;$J24,SorP!C:C,0))))</f>
        <v>CN-YN</v>
      </c>
      <c r="U24" s="201"/>
      <c r="V24" s="226">
        <f>IF(C24="",NA(),IF(OR(C24="Smelter not listed",C24="Smelter not yet identified"),MATCH($B24&amp;$D24,'Smelter Look-up'!$J:$J,0),MATCH($B24&amp;$C24,'Smelter Look-up'!$J:$J,0)))</f>
        <v>539</v>
      </c>
      <c r="X24" s="227">
        <f t="shared" si="3"/>
        <v>0</v>
      </c>
      <c r="AB24" s="228" t="str">
        <f t="shared" si="4"/>
        <v>TinYunnan Chengfeng Non-ferrous Metals Co., Ltd.</v>
      </c>
    </row>
    <row r="25" spans="1:28" s="227" customFormat="1" ht="63.75">
      <c r="A25" s="181" t="s">
        <v>751</v>
      </c>
      <c r="B25" s="182" t="s">
        <v>1099</v>
      </c>
      <c r="C25" s="186" t="s">
        <v>1293</v>
      </c>
      <c r="D25" s="230"/>
      <c r="E25" s="182" t="s">
        <v>1069</v>
      </c>
      <c r="F25" s="182" t="s">
        <v>751</v>
      </c>
      <c r="G25" s="182" t="s">
        <v>13177</v>
      </c>
      <c r="H25" s="183">
        <v>0</v>
      </c>
      <c r="I25" s="184" t="s">
        <v>1734</v>
      </c>
      <c r="J25" s="184" t="s">
        <v>13515</v>
      </c>
      <c r="K25" s="224"/>
      <c r="L25" s="224"/>
      <c r="M25" s="224"/>
      <c r="N25" s="224"/>
      <c r="O25" s="224"/>
      <c r="P25" s="185"/>
      <c r="Q25" s="225" t="s">
        <v>15836</v>
      </c>
      <c r="R25" s="182" t="str">
        <f ca="1">IF(ISERROR($V25),"",OFFSET('Smelter Look-up'!$C$4,$V25-4,0)&amp;"")</f>
        <v>China Tin Group Co., Ltd.</v>
      </c>
      <c r="S25" s="181" t="str">
        <f t="shared" ca="1" si="2"/>
        <v>CN</v>
      </c>
      <c r="T25" s="181" t="str">
        <f ca="1">IF(B25="","",IF(ISERROR(MATCH($J25,SorP!$B$1:$B$6226,0)),"",INDIRECT("'SorP'!$A$"&amp;MATCH($S25&amp;$J25,SorP!C:C,0))))</f>
        <v>CN-GX</v>
      </c>
      <c r="U25" s="201"/>
      <c r="V25" s="226">
        <f>IF(C25="",NA(),IF(OR(C25="Smelter not listed",C25="Smelter not yet identified"),MATCH($B25&amp;$D25,'Smelter Look-up'!$J:$J,0),MATCH($B25&amp;$C25,'Smelter Look-up'!$J:$J,0)))</f>
        <v>411</v>
      </c>
      <c r="X25" s="227">
        <f t="shared" si="3"/>
        <v>0</v>
      </c>
      <c r="AB25" s="228" t="str">
        <f t="shared" si="4"/>
        <v>TinChina Tin Group Co., Ltd.</v>
      </c>
    </row>
    <row r="26" spans="1:28" s="227" customFormat="1" ht="76.5">
      <c r="A26" s="181" t="s">
        <v>757</v>
      </c>
      <c r="B26" s="182" t="s">
        <v>1099</v>
      </c>
      <c r="C26" s="186" t="s">
        <v>756</v>
      </c>
      <c r="D26" s="230"/>
      <c r="E26" s="182" t="s">
        <v>859</v>
      </c>
      <c r="F26" s="182" t="s">
        <v>757</v>
      </c>
      <c r="G26" s="182" t="s">
        <v>13177</v>
      </c>
      <c r="H26" s="183">
        <v>0</v>
      </c>
      <c r="I26" s="184" t="s">
        <v>2292</v>
      </c>
      <c r="J26" s="184" t="s">
        <v>10972</v>
      </c>
      <c r="K26" s="224"/>
      <c r="L26" s="224"/>
      <c r="M26" s="224"/>
      <c r="N26" s="224"/>
      <c r="O26" s="224"/>
      <c r="P26" s="185"/>
      <c r="Q26" s="225" t="s">
        <v>15831</v>
      </c>
      <c r="R26" s="182" t="str">
        <f ca="1">IF(ISERROR($V26),"",OFFSET('Smelter Look-up'!$C$4,$V26-4,0)&amp;"")</f>
        <v>O.M. Manufacturing (Thailand) Co., Ltd.</v>
      </c>
      <c r="S26" s="181" t="str">
        <f t="shared" ca="1" si="2"/>
        <v>TH</v>
      </c>
      <c r="T26" s="181" t="str">
        <f ca="1">IF(B26="","",IF(ISERROR(MATCH($J26,SorP!$B$1:$B$6226,0)),"",INDIRECT("'SorP'!$A$"&amp;MATCH($S26&amp;$J26,SorP!C:C,0))))</f>
        <v>TH-20</v>
      </c>
      <c r="U26" s="201"/>
      <c r="V26" s="226">
        <f>IF(C26="",NA(),IF(OR(C26="Smelter not listed",C26="Smelter not yet identified"),MATCH($B26&amp;$D26,'Smelter Look-up'!$J:$J,0),MATCH($B26&amp;$C26,'Smelter Look-up'!$J:$J,0)))</f>
        <v>490</v>
      </c>
      <c r="X26" s="227">
        <f t="shared" si="3"/>
        <v>0</v>
      </c>
      <c r="AB26" s="228" t="str">
        <f t="shared" si="4"/>
        <v>TinO.M. Manufacturing (Thailand) Co., Ltd.</v>
      </c>
    </row>
    <row r="27" spans="1:28" s="227" customFormat="1" ht="25.5">
      <c r="A27" s="181" t="s">
        <v>762</v>
      </c>
      <c r="B27" s="182" t="s">
        <v>1099</v>
      </c>
      <c r="C27" s="186" t="s">
        <v>761</v>
      </c>
      <c r="D27" s="230"/>
      <c r="E27" s="182" t="s">
        <v>2383</v>
      </c>
      <c r="F27" s="182" t="s">
        <v>762</v>
      </c>
      <c r="G27" s="182" t="s">
        <v>13177</v>
      </c>
      <c r="H27" s="183">
        <v>0</v>
      </c>
      <c r="I27" s="184" t="s">
        <v>13738</v>
      </c>
      <c r="J27" s="184" t="s">
        <v>1665</v>
      </c>
      <c r="K27" s="224"/>
      <c r="L27" s="224"/>
      <c r="M27" s="224"/>
      <c r="N27" s="224"/>
      <c r="O27" s="224"/>
      <c r="P27" s="185"/>
      <c r="Q27" s="225" t="s">
        <v>15831</v>
      </c>
      <c r="R27" s="182" t="str">
        <f ca="1">IF(ISERROR($V27),"",OFFSET('Smelter Look-up'!$C$4,$V27-4,0)&amp;"")</f>
        <v>Rui Da Hung</v>
      </c>
      <c r="S27" s="181" t="str">
        <f t="shared" ca="1" si="2"/>
        <v>TW</v>
      </c>
      <c r="T27" s="181" t="str">
        <f ca="1">IF(B27="","",IF(ISERROR(MATCH($J27,SorP!$B$1:$B$6226,0)),"",INDIRECT("'SorP'!$A$"&amp;MATCH($S27&amp;$J27,SorP!C:C,0))))</f>
        <v>TW-TAO</v>
      </c>
      <c r="U27" s="201"/>
      <c r="V27" s="226">
        <f>IF(C27="",NA(),IF(OR(C27="Smelter not listed",C27="Smelter not yet identified"),MATCH($B27&amp;$D27,'Smelter Look-up'!$J:$J,0),MATCH($B27&amp;$C27,'Smelter Look-up'!$J:$J,0)))</f>
        <v>515</v>
      </c>
      <c r="X27" s="227">
        <f t="shared" si="3"/>
        <v>0</v>
      </c>
      <c r="AB27" s="228" t="str">
        <f t="shared" si="4"/>
        <v>TinRui Da Hung</v>
      </c>
    </row>
    <row r="28" spans="1:28" s="227" customFormat="1" ht="63.75">
      <c r="A28" s="181" t="s">
        <v>1366</v>
      </c>
      <c r="B28" s="182" t="s">
        <v>1099</v>
      </c>
      <c r="C28" s="186" t="s">
        <v>1365</v>
      </c>
      <c r="D28" s="230"/>
      <c r="E28" s="182" t="s">
        <v>852</v>
      </c>
      <c r="F28" s="182" t="s">
        <v>1366</v>
      </c>
      <c r="G28" s="182" t="s">
        <v>13177</v>
      </c>
      <c r="H28" s="183">
        <v>0</v>
      </c>
      <c r="I28" s="184" t="s">
        <v>12887</v>
      </c>
      <c r="J28" s="184" t="s">
        <v>9398</v>
      </c>
      <c r="K28" s="224"/>
      <c r="L28" s="224"/>
      <c r="M28" s="224"/>
      <c r="N28" s="224"/>
      <c r="O28" s="224"/>
      <c r="P28" s="185"/>
      <c r="Q28" s="225" t="s">
        <v>15837</v>
      </c>
      <c r="R28" s="182" t="str">
        <f ca="1">IF(ISERROR($V28),"",OFFSET('Smelter Look-up'!$C$4,$V28-4,0)&amp;"")</f>
        <v>O.M. Manufacturing Philippines, Inc.</v>
      </c>
      <c r="S28" s="181" t="str">
        <f t="shared" ca="1" si="2"/>
        <v>PH</v>
      </c>
      <c r="T28" s="181" t="str">
        <f ca="1">IF(B28="","",IF(ISERROR(MATCH($J28,SorP!$B$1:$B$6226,0)),"",INDIRECT("'SorP'!$A$"&amp;MATCH($S28&amp;$J28,SorP!C:C,0))))</f>
        <v>PH-CAV</v>
      </c>
      <c r="U28" s="201"/>
      <c r="V28" s="226">
        <f>IF(C28="",NA(),IF(OR(C28="Smelter not listed",C28="Smelter not yet identified"),MATCH($B28&amp;$D28,'Smelter Look-up'!$J:$J,0),MATCH($B28&amp;$C28,'Smelter Look-up'!$J:$J,0)))</f>
        <v>491</v>
      </c>
      <c r="X28" s="227">
        <f t="shared" si="3"/>
        <v>0</v>
      </c>
      <c r="AB28" s="228" t="str">
        <f t="shared" si="4"/>
        <v>TinO.M. Manufacturing Philippines, Inc.</v>
      </c>
    </row>
    <row r="29" spans="1:28" s="227" customFormat="1" ht="38.25">
      <c r="A29" s="181" t="s">
        <v>1772</v>
      </c>
      <c r="B29" s="182" t="s">
        <v>1099</v>
      </c>
      <c r="C29" s="186" t="s">
        <v>15341</v>
      </c>
      <c r="D29" s="230"/>
      <c r="E29" s="182" t="s">
        <v>1064</v>
      </c>
      <c r="F29" s="182" t="s">
        <v>1772</v>
      </c>
      <c r="G29" s="182" t="s">
        <v>13177</v>
      </c>
      <c r="H29" s="183">
        <v>0</v>
      </c>
      <c r="I29" s="184" t="s">
        <v>1773</v>
      </c>
      <c r="J29" s="184" t="s">
        <v>3104</v>
      </c>
      <c r="K29" s="224"/>
      <c r="L29" s="224"/>
      <c r="M29" s="224"/>
      <c r="N29" s="224"/>
      <c r="O29" s="224"/>
      <c r="P29" s="185"/>
      <c r="Q29" s="225" t="s">
        <v>15836</v>
      </c>
      <c r="R29" s="182" t="str">
        <f ca="1">IF(ISERROR($V29),"",OFFSET('Smelter Look-up'!$C$4,$V29-4,0)&amp;"")</f>
        <v>Aurubis Beerse</v>
      </c>
      <c r="S29" s="181" t="str">
        <f t="shared" ca="1" si="2"/>
        <v>BE</v>
      </c>
      <c r="T29" s="181" t="str">
        <f ca="1">IF(B29="","",IF(ISERROR(MATCH($J29,SorP!$B$1:$B$6226,0)),"",INDIRECT("'SorP'!$A$"&amp;MATCH($S29&amp;$J29,SorP!C:C,0))))</f>
        <v>BE-VAN</v>
      </c>
      <c r="U29" s="201"/>
      <c r="V29" s="226">
        <f>IF(C29="",NA(),IF(OR(C29="Smelter not listed",C29="Smelter not yet identified"),MATCH($B29&amp;$D29,'Smelter Look-up'!$J:$J,0),MATCH($B29&amp;$C29,'Smelter Look-up'!$J:$J,0)))</f>
        <v>404</v>
      </c>
      <c r="X29" s="227">
        <f t="shared" si="3"/>
        <v>0</v>
      </c>
      <c r="AB29" s="228" t="str">
        <f t="shared" si="4"/>
        <v>TinAurubis Beerse</v>
      </c>
    </row>
    <row r="30" spans="1:28" s="227" customFormat="1" ht="38.25">
      <c r="A30" s="181" t="s">
        <v>1774</v>
      </c>
      <c r="B30" s="182" t="s">
        <v>1099</v>
      </c>
      <c r="C30" s="186" t="s">
        <v>15342</v>
      </c>
      <c r="D30" s="230"/>
      <c r="E30" s="182" t="s">
        <v>1071</v>
      </c>
      <c r="F30" s="182" t="s">
        <v>1774</v>
      </c>
      <c r="G30" s="182" t="s">
        <v>13177</v>
      </c>
      <c r="H30" s="183">
        <v>0</v>
      </c>
      <c r="I30" s="184" t="s">
        <v>1775</v>
      </c>
      <c r="J30" s="184" t="s">
        <v>12359</v>
      </c>
      <c r="K30" s="224"/>
      <c r="L30" s="224"/>
      <c r="M30" s="224"/>
      <c r="N30" s="224"/>
      <c r="O30" s="224"/>
      <c r="P30" s="185"/>
      <c r="Q30" s="225" t="s">
        <v>15831</v>
      </c>
      <c r="R30" s="182" t="str">
        <f ca="1">IF(ISERROR($V30),"",OFFSET('Smelter Look-up'!$C$4,$V30-4,0)&amp;"")</f>
        <v>Aurubis Berango</v>
      </c>
      <c r="S30" s="181" t="str">
        <f t="shared" ca="1" si="2"/>
        <v>ES</v>
      </c>
      <c r="T30" s="181" t="str">
        <f ca="1">IF(B30="","",IF(ISERROR(MATCH($J30,SorP!$B$1:$B$6226,0)),"",INDIRECT("'SorP'!$A$"&amp;MATCH($S30&amp;$J30,SorP!C:C,0))))</f>
        <v>ES-BI</v>
      </c>
      <c r="U30" s="201"/>
      <c r="V30" s="226">
        <f>IF(C30="",NA(),IF(OR(C30="Smelter not listed",C30="Smelter not yet identified"),MATCH($B30&amp;$D30,'Smelter Look-up'!$J:$J,0),MATCH($B30&amp;$C30,'Smelter Look-up'!$J:$J,0)))</f>
        <v>405</v>
      </c>
      <c r="X30" s="227">
        <f t="shared" si="3"/>
        <v>0</v>
      </c>
      <c r="AB30" s="228" t="str">
        <f t="shared" si="4"/>
        <v>TinAurubis Berango</v>
      </c>
    </row>
    <row r="31" spans="1:28" s="227" customFormat="1" ht="51">
      <c r="A31" s="181" t="s">
        <v>13122</v>
      </c>
      <c r="B31" s="182" t="s">
        <v>1099</v>
      </c>
      <c r="C31" s="186" t="s">
        <v>13121</v>
      </c>
      <c r="D31" s="230"/>
      <c r="E31" s="182" t="s">
        <v>2384</v>
      </c>
      <c r="F31" s="182" t="s">
        <v>13122</v>
      </c>
      <c r="G31" s="182" t="s">
        <v>13177</v>
      </c>
      <c r="H31" s="183">
        <v>0</v>
      </c>
      <c r="I31" s="184" t="s">
        <v>13123</v>
      </c>
      <c r="J31" s="184" t="s">
        <v>1699</v>
      </c>
      <c r="K31" s="224"/>
      <c r="L31" s="224"/>
      <c r="M31" s="224"/>
      <c r="N31" s="224"/>
      <c r="O31" s="224"/>
      <c r="P31" s="185"/>
      <c r="Q31" s="225" t="s">
        <v>15831</v>
      </c>
      <c r="R31" s="182" t="str">
        <f ca="1">IF(ISERROR($V31),"",OFFSET('Smelter Look-up'!$C$4,$V31-4,0)&amp;"")</f>
        <v>Tin Technology &amp; Refining</v>
      </c>
      <c r="S31" s="181" t="str">
        <f t="shared" ca="1" si="2"/>
        <v>US</v>
      </c>
      <c r="T31" s="181" t="str">
        <f ca="1">IF(B31="","",IF(ISERROR(MATCH($J31,SorP!$B$1:$B$6226,0)),"",INDIRECT("'SorP'!$A$"&amp;MATCH($S31&amp;$J31,SorP!C:C,0))))</f>
        <v>US-PA</v>
      </c>
      <c r="U31" s="201"/>
      <c r="V31" s="226">
        <f>IF(C31="",NA(),IF(OR(C31="Smelter not listed",C31="Smelter not yet identified"),MATCH($B31&amp;$D31,'Smelter Look-up'!$J:$J,0),MATCH($B31&amp;$C31,'Smelter Look-up'!$J:$J,0)))</f>
        <v>525</v>
      </c>
      <c r="X31" s="227">
        <f t="shared" si="3"/>
        <v>0</v>
      </c>
      <c r="AB31" s="228" t="str">
        <f t="shared" si="4"/>
        <v>TinTin Technology &amp; Refining</v>
      </c>
    </row>
    <row r="32" spans="1:28" s="227" customFormat="1" ht="38.25">
      <c r="A32" s="181" t="s">
        <v>14958</v>
      </c>
      <c r="B32" s="182" t="s">
        <v>1099</v>
      </c>
      <c r="C32" s="186" t="s">
        <v>14957</v>
      </c>
      <c r="D32" s="230"/>
      <c r="E32" s="182" t="s">
        <v>1071</v>
      </c>
      <c r="F32" s="182" t="s">
        <v>14958</v>
      </c>
      <c r="G32" s="182" t="s">
        <v>13177</v>
      </c>
      <c r="H32" s="183">
        <v>0</v>
      </c>
      <c r="I32" s="184" t="s">
        <v>3602</v>
      </c>
      <c r="J32" s="184" t="s">
        <v>3602</v>
      </c>
      <c r="K32" s="224"/>
      <c r="L32" s="224"/>
      <c r="M32" s="224"/>
      <c r="N32" s="224"/>
      <c r="O32" s="224"/>
      <c r="P32" s="185"/>
      <c r="Q32" s="225" t="s">
        <v>15837</v>
      </c>
      <c r="R32" s="182" t="str">
        <f ca="1">IF(ISERROR($V32),"",OFFSET('Smelter Look-up'!$C$4,$V32-4,0)&amp;"")</f>
        <v>CRM Synergies</v>
      </c>
      <c r="S32" s="181" t="str">
        <f t="shared" ca="1" si="2"/>
        <v>ES</v>
      </c>
      <c r="T32" s="181" t="str">
        <f ca="1">IF(B32="","",IF(ISERROR(MATCH($J32,SorP!$B$1:$B$6226,0)),"",INDIRECT("'SorP'!$A$"&amp;MATCH($S32&amp;$J32,SorP!C:C,0))))</f>
        <v>ES-TO</v>
      </c>
      <c r="U32" s="201"/>
      <c r="V32" s="226">
        <f>IF(C32="",NA(),IF(OR(C32="Smelter not listed",C32="Smelter not yet identified"),MATCH($B32&amp;$D32,'Smelter Look-up'!$J:$J,0),MATCH($B32&amp;$C32,'Smelter Look-up'!$J:$J,0)))</f>
        <v>419</v>
      </c>
      <c r="X32" s="227">
        <f t="shared" si="3"/>
        <v>0</v>
      </c>
      <c r="AB32" s="228" t="str">
        <f t="shared" si="4"/>
        <v>TinCRM Synergies</v>
      </c>
    </row>
    <row r="33" spans="1:28" s="227" customFormat="1" ht="89.25">
      <c r="A33" s="181" t="s">
        <v>12877</v>
      </c>
      <c r="B33" s="182" t="s">
        <v>1099</v>
      </c>
      <c r="C33" s="186" t="s">
        <v>12876</v>
      </c>
      <c r="D33" s="230"/>
      <c r="E33" s="182" t="s">
        <v>1069</v>
      </c>
      <c r="F33" s="182" t="s">
        <v>12877</v>
      </c>
      <c r="G33" s="182" t="s">
        <v>13177</v>
      </c>
      <c r="H33" s="183">
        <v>0</v>
      </c>
      <c r="I33" s="184" t="s">
        <v>12893</v>
      </c>
      <c r="J33" s="184" t="s">
        <v>13514</v>
      </c>
      <c r="K33" s="224"/>
      <c r="L33" s="224"/>
      <c r="M33" s="224"/>
      <c r="N33" s="224"/>
      <c r="O33" s="224"/>
      <c r="P33" s="185"/>
      <c r="Q33" s="225" t="s">
        <v>15831</v>
      </c>
      <c r="R33" s="182" t="str">
        <f ca="1">IF(ISERROR($V33),"",OFFSET('Smelter Look-up'!$C$4,$V33-4,0)&amp;"")</f>
        <v>Chifeng Dajingzi Tin Industry Co., Ltd.</v>
      </c>
      <c r="S33" s="181" t="str">
        <f t="shared" ca="1" si="2"/>
        <v>CN</v>
      </c>
      <c r="T33" s="181" t="str">
        <f ca="1">IF(B33="","",IF(ISERROR(MATCH($J33,SorP!$B$1:$B$6226,0)),"",INDIRECT("'SorP'!$A$"&amp;MATCH($S33&amp;$J33,SorP!C:C,0))))</f>
        <v>CN-NM</v>
      </c>
      <c r="U33" s="201"/>
      <c r="V33" s="226">
        <f>IF(C33="",NA(),IF(OR(C33="Smelter not listed",C33="Smelter not yet identified"),MATCH($B33&amp;$D33,'Smelter Look-up'!$J:$J,0),MATCH($B33&amp;$C33,'Smelter Look-up'!$J:$J,0)))</f>
        <v>409</v>
      </c>
      <c r="X33" s="227">
        <f t="shared" si="3"/>
        <v>0</v>
      </c>
      <c r="AB33" s="228" t="str">
        <f t="shared" si="4"/>
        <v>TinChifeng Dajingzi Tin Industry Co., Ltd.</v>
      </c>
    </row>
    <row r="34" spans="1:28" s="227" customFormat="1" ht="25.5">
      <c r="A34" s="181" t="s">
        <v>15840</v>
      </c>
      <c r="B34" s="182" t="s">
        <v>1099</v>
      </c>
      <c r="C34" s="186" t="s">
        <v>15841</v>
      </c>
      <c r="D34" s="230"/>
      <c r="E34" s="182" t="s">
        <v>1074</v>
      </c>
      <c r="F34" s="182" t="s">
        <v>15840</v>
      </c>
      <c r="G34" s="182" t="s">
        <v>13177</v>
      </c>
      <c r="H34" s="183">
        <v>0</v>
      </c>
      <c r="I34" s="184" t="s">
        <v>1726</v>
      </c>
      <c r="J34" s="184" t="s">
        <v>12799</v>
      </c>
      <c r="K34" s="224"/>
      <c r="L34" s="224"/>
      <c r="M34" s="224"/>
      <c r="N34" s="224"/>
      <c r="O34" s="224"/>
      <c r="P34" s="185"/>
      <c r="Q34" s="225" t="s">
        <v>15838</v>
      </c>
      <c r="R34" s="182" t="str">
        <f ca="1">IF(ISERROR($V34),"",OFFSET('Smelter Look-up'!$C$4,$V34-4,0)&amp;"")</f>
        <v/>
      </c>
      <c r="S34" s="181" t="str">
        <f t="shared" ca="1" si="2"/>
        <v>ID</v>
      </c>
      <c r="T34" s="181" t="str">
        <f ca="1">IF(B34="","",IF(ISERROR(MATCH($J34,SorP!$B$1:$B$6226,0)),"",INDIRECT("'SorP'!$A$"&amp;MATCH($S34&amp;$J34,SorP!C:C,0))))</f>
        <v>ID-BB</v>
      </c>
      <c r="U34" s="201"/>
      <c r="V34" s="226" t="e">
        <f>IF(C34="",NA(),IF(OR(C34="Smelter not listed",C34="Smelter not yet identified"),MATCH($B34&amp;$D34,'Smelter Look-up'!$J:$J,0),MATCH($B34&amp;$C34,'Smelter Look-up'!$J:$J,0)))</f>
        <v>#N/A</v>
      </c>
      <c r="X34" s="227">
        <f t="shared" si="3"/>
        <v>0</v>
      </c>
      <c r="AB34" s="228" t="str">
        <f t="shared" si="4"/>
        <v>TinCV Ayi Jaya</v>
      </c>
    </row>
    <row r="35" spans="1:28" s="227" customFormat="1" ht="51">
      <c r="A35" s="181" t="s">
        <v>15842</v>
      </c>
      <c r="B35" s="182" t="s">
        <v>1099</v>
      </c>
      <c r="C35" s="186" t="s">
        <v>15843</v>
      </c>
      <c r="D35" s="230"/>
      <c r="E35" s="182" t="s">
        <v>1074</v>
      </c>
      <c r="F35" s="182" t="s">
        <v>15842</v>
      </c>
      <c r="G35" s="182" t="s">
        <v>13177</v>
      </c>
      <c r="H35" s="183">
        <v>0</v>
      </c>
      <c r="I35" s="184" t="s">
        <v>15844</v>
      </c>
      <c r="J35" s="184" t="s">
        <v>12799</v>
      </c>
      <c r="K35" s="224"/>
      <c r="L35" s="224"/>
      <c r="M35" s="224"/>
      <c r="N35" s="224"/>
      <c r="O35" s="224"/>
      <c r="P35" s="185"/>
      <c r="Q35" s="225" t="s">
        <v>15838</v>
      </c>
      <c r="R35" s="182" t="str">
        <f ca="1">IF(ISERROR($V35),"",OFFSET('Smelter Look-up'!$C$4,$V35-4,0)&amp;"")</f>
        <v/>
      </c>
      <c r="S35" s="181" t="str">
        <f t="shared" ca="1" si="2"/>
        <v>ID</v>
      </c>
      <c r="T35" s="181" t="str">
        <f ca="1">IF(B35="","",IF(ISERROR(MATCH($J35,SorP!$B$1:$B$6226,0)),"",INDIRECT("'SorP'!$A$"&amp;MATCH($S35&amp;$J35,SorP!C:C,0))))</f>
        <v>ID-BB</v>
      </c>
      <c r="U35" s="201"/>
      <c r="V35" s="226" t="e">
        <f>IF(C35="",NA(),IF(OR(C35="Smelter not listed",C35="Smelter not yet identified"),MATCH($B35&amp;$D35,'Smelter Look-up'!$J:$J,0),MATCH($B35&amp;$C35,'Smelter Look-up'!$J:$J,0)))</f>
        <v>#N/A</v>
      </c>
      <c r="X35" s="227">
        <f t="shared" si="3"/>
        <v>0</v>
      </c>
      <c r="AB35" s="228" t="str">
        <f t="shared" si="4"/>
        <v>TinPT Timah Nusantara</v>
      </c>
    </row>
    <row r="36" spans="1:28" s="227" customFormat="1" ht="63.75">
      <c r="A36" s="181" t="s">
        <v>15845</v>
      </c>
      <c r="B36" s="182" t="s">
        <v>1099</v>
      </c>
      <c r="C36" s="186" t="s">
        <v>15846</v>
      </c>
      <c r="D36" s="230"/>
      <c r="E36" s="182" t="s">
        <v>1074</v>
      </c>
      <c r="F36" s="182" t="s">
        <v>15845</v>
      </c>
      <c r="G36" s="182" t="s">
        <v>13177</v>
      </c>
      <c r="H36" s="183">
        <v>0</v>
      </c>
      <c r="I36" s="184" t="s">
        <v>14986</v>
      </c>
      <c r="J36" s="184" t="s">
        <v>12799</v>
      </c>
      <c r="K36" s="224"/>
      <c r="L36" s="224"/>
      <c r="M36" s="224"/>
      <c r="N36" s="224"/>
      <c r="O36" s="224"/>
      <c r="P36" s="185"/>
      <c r="Q36" s="225" t="s">
        <v>15831</v>
      </c>
      <c r="R36" s="182" t="str">
        <f ca="1">IF(ISERROR($V36),"",OFFSET('Smelter Look-up'!$C$4,$V36-4,0)&amp;"")</f>
        <v/>
      </c>
      <c r="S36" s="181" t="str">
        <f t="shared" ca="1" si="2"/>
        <v>ID</v>
      </c>
      <c r="T36" s="181" t="str">
        <f ca="1">IF(B36="","",IF(ISERROR(MATCH($J36,SorP!$B$1:$B$6226,0)),"",INDIRECT("'SorP'!$A$"&amp;MATCH($S36&amp;$J36,SorP!C:C,0))))</f>
        <v>ID-BB</v>
      </c>
      <c r="U36" s="201"/>
      <c r="V36" s="226" t="e">
        <f>IF(C36="",NA(),IF(OR(C36="Smelter not listed",C36="Smelter not yet identified"),MATCH($B36&amp;$D36,'Smelter Look-up'!$J:$J,0),MATCH($B36&amp;$C36,'Smelter Look-up'!$J:$J,0)))</f>
        <v>#N/A</v>
      </c>
      <c r="X36" s="227">
        <f t="shared" si="3"/>
        <v>0</v>
      </c>
      <c r="AB36" s="228" t="str">
        <f t="shared" si="4"/>
        <v>TinPT Sariwiguna Binasentosa</v>
      </c>
    </row>
    <row r="37" spans="1:28" s="227" customFormat="1" ht="51">
      <c r="A37" s="181" t="s">
        <v>15307</v>
      </c>
      <c r="B37" s="182" t="s">
        <v>1099</v>
      </c>
      <c r="C37" s="186" t="s">
        <v>15306</v>
      </c>
      <c r="D37" s="230"/>
      <c r="E37" s="182" t="s">
        <v>1074</v>
      </c>
      <c r="F37" s="182" t="s">
        <v>15307</v>
      </c>
      <c r="G37" s="182" t="s">
        <v>13177</v>
      </c>
      <c r="H37" s="183">
        <v>0</v>
      </c>
      <c r="I37" s="184" t="s">
        <v>15308</v>
      </c>
      <c r="J37" s="184" t="s">
        <v>1748</v>
      </c>
      <c r="K37" s="224"/>
      <c r="L37" s="224"/>
      <c r="M37" s="224"/>
      <c r="N37" s="224"/>
      <c r="O37" s="224"/>
      <c r="P37" s="185"/>
      <c r="Q37" s="225" t="s">
        <v>15837</v>
      </c>
      <c r="R37" s="182" t="str">
        <f ca="1">IF(ISERROR($V37),"",OFFSET('Smelter Look-up'!$C$4,$V37-4,0)&amp;"")</f>
        <v>PT Cipta Persada Mulia</v>
      </c>
      <c r="S37" s="181" t="str">
        <f t="shared" ca="1" si="2"/>
        <v>ID</v>
      </c>
      <c r="T37" s="181" t="str">
        <f ca="1">IF(B37="","",IF(ISERROR(MATCH($J37,SorP!$B$1:$B$6226,0)),"",INDIRECT("'SorP'!$A$"&amp;MATCH($S37&amp;$J37,SorP!C:C,0))))</f>
        <v>ID-KR</v>
      </c>
      <c r="U37" s="201"/>
      <c r="V37" s="226">
        <f>IF(C37="",NA(),IF(OR(C37="Smelter not listed",C37="Smelter not yet identified"),MATCH($B37&amp;$D37,'Smelter Look-up'!$J:$J,0),MATCH($B37&amp;$C37,'Smelter Look-up'!$J:$J,0)))</f>
        <v>501</v>
      </c>
      <c r="X37" s="227">
        <f t="shared" si="3"/>
        <v>0</v>
      </c>
      <c r="AB37" s="228" t="str">
        <f t="shared" si="4"/>
        <v>TinPT Cipta Persada Mulia</v>
      </c>
    </row>
    <row r="38" spans="1:28" s="227" customFormat="1" ht="63.75">
      <c r="A38" s="181" t="s">
        <v>15847</v>
      </c>
      <c r="B38" s="182" t="s">
        <v>1099</v>
      </c>
      <c r="C38" s="186" t="s">
        <v>15848</v>
      </c>
      <c r="D38" s="230"/>
      <c r="E38" s="182" t="s">
        <v>1074</v>
      </c>
      <c r="F38" s="182" t="s">
        <v>15847</v>
      </c>
      <c r="G38" s="182" t="s">
        <v>13177</v>
      </c>
      <c r="H38" s="183">
        <v>0</v>
      </c>
      <c r="I38" s="184" t="s">
        <v>15849</v>
      </c>
      <c r="J38" s="184" t="s">
        <v>12799</v>
      </c>
      <c r="K38" s="224"/>
      <c r="L38" s="224"/>
      <c r="M38" s="224"/>
      <c r="N38" s="224"/>
      <c r="O38" s="224"/>
      <c r="P38" s="185"/>
      <c r="Q38" s="225" t="s">
        <v>15837</v>
      </c>
      <c r="R38" s="182" t="str">
        <f ca="1">IF(ISERROR($V38),"",OFFSET('Smelter Look-up'!$C$4,$V38-4,0)&amp;"")</f>
        <v/>
      </c>
      <c r="S38" s="181" t="str">
        <f t="shared" ref="S38:S68" ca="1" si="5">IF(B38="","",IF(ISERROR(MATCH($E38,CL,0)),"Unknown",INDIRECT("'C'!$A$"&amp;MATCH($E38,CL,0)+1)))</f>
        <v>ID</v>
      </c>
      <c r="T38" s="181" t="str">
        <f ca="1">IF(B38="","",IF(ISERROR(MATCH($J38,SorP!$B$1:$B$6226,0)),"",INDIRECT("'SorP'!$A$"&amp;MATCH($S38&amp;$J38,SorP!C:C,0))))</f>
        <v>ID-BB</v>
      </c>
      <c r="U38" s="201"/>
      <c r="V38" s="226" t="e">
        <f>IF(C38="",NA(),IF(OR(C38="Smelter not listed",C38="Smelter not yet identified"),MATCH($B38&amp;$D38,'Smelter Look-up'!$J:$J,0),MATCH($B38&amp;$C38,'Smelter Look-up'!$J:$J,0)))</f>
        <v>#N/A</v>
      </c>
      <c r="X38" s="227">
        <f t="shared" ref="X38:X68" si="6">IF(AND(C38="Smelter not listed",OR(LEN(D38)=0,LEN(E38)=0)),1,0)</f>
        <v>0</v>
      </c>
      <c r="AB38" s="228" t="str">
        <f t="shared" ref="AB38:AB68" si="7">B38&amp;C38</f>
        <v>TinPT Sukses Inti Makmur (SIM)</v>
      </c>
    </row>
    <row r="39" spans="1:28" s="227" customFormat="1" ht="51">
      <c r="A39" s="181" t="s">
        <v>759</v>
      </c>
      <c r="B39" s="182" t="s">
        <v>1099</v>
      </c>
      <c r="C39" s="186" t="s">
        <v>610</v>
      </c>
      <c r="D39" s="230"/>
      <c r="E39" s="182" t="s">
        <v>1074</v>
      </c>
      <c r="F39" s="182" t="s">
        <v>759</v>
      </c>
      <c r="G39" s="182" t="s">
        <v>13177</v>
      </c>
      <c r="H39" s="183">
        <v>0</v>
      </c>
      <c r="I39" s="184" t="s">
        <v>1726</v>
      </c>
      <c r="J39" s="184" t="s">
        <v>12799</v>
      </c>
      <c r="K39" s="224"/>
      <c r="L39" s="224"/>
      <c r="M39" s="224"/>
      <c r="N39" s="224"/>
      <c r="O39" s="224"/>
      <c r="P39" s="185"/>
      <c r="Q39" s="225" t="s">
        <v>15850</v>
      </c>
      <c r="R39" s="182" t="str">
        <f ca="1">IF(ISERROR($V39),"",OFFSET('Smelter Look-up'!$C$4,$V39-4,0)&amp;"")</f>
        <v>PT Mitra Stania Prima</v>
      </c>
      <c r="S39" s="181" t="str">
        <f t="shared" ca="1" si="5"/>
        <v>ID</v>
      </c>
      <c r="T39" s="181" t="str">
        <f ca="1">IF(B39="","",IF(ISERROR(MATCH($J39,SorP!$B$1:$B$6226,0)),"",INDIRECT("'SorP'!$A$"&amp;MATCH($S39&amp;$J39,SorP!C:C,0))))</f>
        <v>ID-BB</v>
      </c>
      <c r="U39" s="201"/>
      <c r="V39" s="226">
        <f>IF(C39="",NA(),IF(OR(C39="Smelter not listed",C39="Smelter not yet identified"),MATCH($B39&amp;$D39,'Smelter Look-up'!$J:$J,0),MATCH($B39&amp;$C39,'Smelter Look-up'!$J:$J,0)))</f>
        <v>502</v>
      </c>
      <c r="X39" s="227">
        <f t="shared" si="6"/>
        <v>0</v>
      </c>
      <c r="AB39" s="228" t="str">
        <f t="shared" si="7"/>
        <v>TinPT Mitra Stania Prima</v>
      </c>
    </row>
    <row r="40" spans="1:28" s="227" customFormat="1" ht="51">
      <c r="A40" s="181" t="s">
        <v>777</v>
      </c>
      <c r="B40" s="182" t="s">
        <v>1099</v>
      </c>
      <c r="C40" s="186" t="s">
        <v>13714</v>
      </c>
      <c r="D40" s="230"/>
      <c r="E40" s="182" t="s">
        <v>1074</v>
      </c>
      <c r="F40" s="182" t="s">
        <v>777</v>
      </c>
      <c r="G40" s="182" t="s">
        <v>13177</v>
      </c>
      <c r="H40" s="183">
        <v>0</v>
      </c>
      <c r="I40" s="184" t="s">
        <v>1749</v>
      </c>
      <c r="J40" s="184" t="s">
        <v>6016</v>
      </c>
      <c r="K40" s="224"/>
      <c r="L40" s="224"/>
      <c r="M40" s="224"/>
      <c r="N40" s="224"/>
      <c r="O40" s="224"/>
      <c r="P40" s="185"/>
      <c r="Q40" s="225" t="s">
        <v>15850</v>
      </c>
      <c r="R40" s="182" t="str">
        <f ca="1">IF(ISERROR($V40),"",OFFSET('Smelter Look-up'!$C$4,$V40-4,0)&amp;"")</f>
        <v>PT Timah Tbk Kundur</v>
      </c>
      <c r="S40" s="181" t="str">
        <f t="shared" ca="1" si="5"/>
        <v>ID</v>
      </c>
      <c r="T40" s="181" t="str">
        <f ca="1">IF(B40="","",IF(ISERROR(MATCH($J40,SorP!$B$1:$B$6226,0)),"",INDIRECT("'SorP'!$A$"&amp;MATCH($S40&amp;$J40,SorP!C:C,0))))</f>
        <v>ID-RI</v>
      </c>
      <c r="U40" s="201"/>
      <c r="V40" s="226">
        <f>IF(C40="",NA(),IF(OR(C40="Smelter not listed",C40="Smelter not yet identified"),MATCH($B40&amp;$D40,'Smelter Look-up'!$J:$J,0),MATCH($B40&amp;$C40,'Smelter Look-up'!$J:$J,0)))</f>
        <v>509</v>
      </c>
      <c r="X40" s="227">
        <f t="shared" si="6"/>
        <v>0</v>
      </c>
      <c r="AB40" s="228" t="str">
        <f t="shared" si="7"/>
        <v>TinPT Timah Tbk Kundur</v>
      </c>
    </row>
    <row r="41" spans="1:28" s="227" customFormat="1" ht="51">
      <c r="A41" s="181" t="s">
        <v>760</v>
      </c>
      <c r="B41" s="182" t="s">
        <v>1099</v>
      </c>
      <c r="C41" s="186" t="s">
        <v>13713</v>
      </c>
      <c r="D41" s="230"/>
      <c r="E41" s="182" t="s">
        <v>1074</v>
      </c>
      <c r="F41" s="182" t="s">
        <v>760</v>
      </c>
      <c r="G41" s="182" t="s">
        <v>13177</v>
      </c>
      <c r="H41" s="183">
        <v>0</v>
      </c>
      <c r="I41" s="184" t="s">
        <v>1751</v>
      </c>
      <c r="J41" s="184" t="s">
        <v>12799</v>
      </c>
      <c r="K41" s="224"/>
      <c r="L41" s="224"/>
      <c r="M41" s="224"/>
      <c r="N41" s="224"/>
      <c r="O41" s="224"/>
      <c r="P41" s="185"/>
      <c r="Q41" s="225" t="s">
        <v>15850</v>
      </c>
      <c r="R41" s="182" t="str">
        <f ca="1">IF(ISERROR($V41),"",OFFSET('Smelter Look-up'!$C$4,$V41-4,0)&amp;"")</f>
        <v>PT Timah Tbk Mentok</v>
      </c>
      <c r="S41" s="181" t="str">
        <f t="shared" ca="1" si="5"/>
        <v>ID</v>
      </c>
      <c r="T41" s="181" t="str">
        <f ca="1">IF(B41="","",IF(ISERROR(MATCH($J41,SorP!$B$1:$B$6226,0)),"",INDIRECT("'SorP'!$A$"&amp;MATCH($S41&amp;$J41,SorP!C:C,0))))</f>
        <v>ID-BB</v>
      </c>
      <c r="U41" s="201"/>
      <c r="V41" s="226">
        <f>IF(C41="",NA(),IF(OR(C41="Smelter not listed",C41="Smelter not yet identified"),MATCH($B41&amp;$D41,'Smelter Look-up'!$J:$J,0),MATCH($B41&amp;$C41,'Smelter Look-up'!$J:$J,0)))</f>
        <v>510</v>
      </c>
      <c r="X41" s="227">
        <f t="shared" si="6"/>
        <v>0</v>
      </c>
      <c r="AB41" s="228" t="str">
        <f t="shared" si="7"/>
        <v>TinPT Timah Tbk Mentok</v>
      </c>
    </row>
    <row r="42" spans="1:28" s="227" customFormat="1" ht="51">
      <c r="A42" s="181" t="s">
        <v>15851</v>
      </c>
      <c r="B42" s="182" t="s">
        <v>1099</v>
      </c>
      <c r="C42" s="186" t="s">
        <v>15852</v>
      </c>
      <c r="D42" s="230"/>
      <c r="E42" s="182" t="s">
        <v>1074</v>
      </c>
      <c r="F42" s="182" t="s">
        <v>15851</v>
      </c>
      <c r="G42" s="182" t="s">
        <v>13177</v>
      </c>
      <c r="H42" s="183">
        <v>0</v>
      </c>
      <c r="I42" s="184" t="s">
        <v>1726</v>
      </c>
      <c r="J42" s="184" t="s">
        <v>12799</v>
      </c>
      <c r="K42" s="224"/>
      <c r="L42" s="224"/>
      <c r="M42" s="224"/>
      <c r="N42" s="224"/>
      <c r="O42" s="224"/>
      <c r="P42" s="185"/>
      <c r="Q42" s="225" t="s">
        <v>15831</v>
      </c>
      <c r="R42" s="182" t="str">
        <f ca="1">IF(ISERROR($V42),"",OFFSET('Smelter Look-up'!$C$4,$V42-4,0)&amp;"")</f>
        <v/>
      </c>
      <c r="S42" s="181" t="str">
        <f t="shared" ca="1" si="5"/>
        <v>ID</v>
      </c>
      <c r="T42" s="181" t="str">
        <f ca="1">IF(B42="","",IF(ISERROR(MATCH($J42,SorP!$B$1:$B$6226,0)),"",INDIRECT("'SorP'!$A$"&amp;MATCH($S42&amp;$J42,SorP!C:C,0))))</f>
        <v>ID-BB</v>
      </c>
      <c r="U42" s="201"/>
      <c r="V42" s="226" t="e">
        <f>IF(C42="",NA(),IF(OR(C42="Smelter not listed",C42="Smelter not yet identified"),MATCH($B42&amp;$D42,'Smelter Look-up'!$J:$J,0),MATCH($B42&amp;$C42,'Smelter Look-up'!$J:$J,0)))</f>
        <v>#N/A</v>
      </c>
      <c r="X42" s="227">
        <f t="shared" si="6"/>
        <v>0</v>
      </c>
      <c r="AB42" s="228" t="str">
        <f t="shared" si="7"/>
        <v>TinPT Refined Bangka Tin</v>
      </c>
    </row>
    <row r="43" spans="1:28" s="227" customFormat="1" ht="38.25">
      <c r="A43" s="181" t="s">
        <v>15853</v>
      </c>
      <c r="B43" s="182" t="s">
        <v>1099</v>
      </c>
      <c r="C43" s="186" t="s">
        <v>15854</v>
      </c>
      <c r="D43" s="230"/>
      <c r="E43" s="182" t="s">
        <v>1074</v>
      </c>
      <c r="F43" s="182" t="s">
        <v>15853</v>
      </c>
      <c r="G43" s="182" t="s">
        <v>13177</v>
      </c>
      <c r="H43" s="183">
        <v>0</v>
      </c>
      <c r="I43" s="184" t="s">
        <v>15855</v>
      </c>
      <c r="J43" s="184" t="s">
        <v>12799</v>
      </c>
      <c r="K43" s="224"/>
      <c r="L43" s="224"/>
      <c r="M43" s="224"/>
      <c r="N43" s="224"/>
      <c r="O43" s="224"/>
      <c r="P43" s="185"/>
      <c r="Q43" s="225" t="s">
        <v>15837</v>
      </c>
      <c r="R43" s="182" t="str">
        <f ca="1">IF(ISERROR($V43),"",OFFSET('Smelter Look-up'!$C$4,$V43-4,0)&amp;"")</f>
        <v/>
      </c>
      <c r="S43" s="181" t="str">
        <f t="shared" ca="1" si="5"/>
        <v>ID</v>
      </c>
      <c r="T43" s="181" t="str">
        <f ca="1">IF(B43="","",IF(ISERROR(MATCH($J43,SorP!$B$1:$B$6226,0)),"",INDIRECT("'SorP'!$A$"&amp;MATCH($S43&amp;$J43,SorP!C:C,0))))</f>
        <v>ID-BB</v>
      </c>
      <c r="U43" s="201"/>
      <c r="V43" s="226" t="e">
        <f>IF(C43="",NA(),IF(OR(C43="Smelter not listed",C43="Smelter not yet identified"),MATCH($B43&amp;$D43,'Smelter Look-up'!$J:$J,0),MATCH($B43&amp;$C43,'Smelter Look-up'!$J:$J,0)))</f>
        <v>#N/A</v>
      </c>
      <c r="X43" s="227">
        <f t="shared" si="6"/>
        <v>0</v>
      </c>
      <c r="AB43" s="228" t="str">
        <f t="shared" si="7"/>
        <v>TinPT Tommy Utama</v>
      </c>
    </row>
    <row r="44" spans="1:28" s="227" customFormat="1" ht="51">
      <c r="A44" s="181" t="s">
        <v>15856</v>
      </c>
      <c r="B44" s="182" t="s">
        <v>1099</v>
      </c>
      <c r="C44" s="186" t="s">
        <v>15857</v>
      </c>
      <c r="D44" s="230"/>
      <c r="E44" s="182" t="s">
        <v>1074</v>
      </c>
      <c r="F44" s="182" t="s">
        <v>15856</v>
      </c>
      <c r="G44" s="182" t="s">
        <v>13177</v>
      </c>
      <c r="H44" s="183">
        <v>0</v>
      </c>
      <c r="I44" s="184" t="s">
        <v>15858</v>
      </c>
      <c r="J44" s="184" t="s">
        <v>12799</v>
      </c>
      <c r="K44" s="224"/>
      <c r="L44" s="224"/>
      <c r="M44" s="224"/>
      <c r="N44" s="224"/>
      <c r="O44" s="224"/>
      <c r="P44" s="185"/>
      <c r="Q44" s="225" t="s">
        <v>15831</v>
      </c>
      <c r="R44" s="182" t="str">
        <f ca="1">IF(ISERROR($V44),"",OFFSET('Smelter Look-up'!$C$4,$V44-4,0)&amp;"")</f>
        <v/>
      </c>
      <c r="S44" s="181" t="str">
        <f t="shared" ca="1" si="5"/>
        <v>ID</v>
      </c>
      <c r="T44" s="181" t="str">
        <f ca="1">IF(B44="","",IF(ISERROR(MATCH($J44,SorP!$B$1:$B$6226,0)),"",INDIRECT("'SorP'!$A$"&amp;MATCH($S44&amp;$J44,SorP!C:C,0))))</f>
        <v>ID-BB</v>
      </c>
      <c r="U44" s="201"/>
      <c r="V44" s="226" t="e">
        <f>IF(C44="",NA(),IF(OR(C44="Smelter not listed",C44="Smelter not yet identified"),MATCH($B44&amp;$D44,'Smelter Look-up'!$J:$J,0),MATCH($B44&amp;$C44,'Smelter Look-up'!$J:$J,0)))</f>
        <v>#N/A</v>
      </c>
      <c r="X44" s="227">
        <f t="shared" si="6"/>
        <v>0</v>
      </c>
      <c r="AB44" s="228" t="str">
        <f t="shared" si="7"/>
        <v>TinPT Menara Cipta Mulia</v>
      </c>
    </row>
    <row r="45" spans="1:28" s="227" customFormat="1" ht="63.75">
      <c r="A45" s="181" t="s">
        <v>15859</v>
      </c>
      <c r="B45" s="182" t="s">
        <v>1099</v>
      </c>
      <c r="C45" s="186" t="s">
        <v>15860</v>
      </c>
      <c r="D45" s="230"/>
      <c r="E45" s="182" t="s">
        <v>1074</v>
      </c>
      <c r="F45" s="182" t="s">
        <v>15859</v>
      </c>
      <c r="G45" s="182" t="s">
        <v>13177</v>
      </c>
      <c r="H45" s="183">
        <v>0</v>
      </c>
      <c r="I45" s="184" t="s">
        <v>15861</v>
      </c>
      <c r="J45" s="184" t="s">
        <v>12799</v>
      </c>
      <c r="K45" s="224"/>
      <c r="L45" s="224"/>
      <c r="M45" s="224"/>
      <c r="N45" s="224"/>
      <c r="O45" s="224"/>
      <c r="P45" s="185"/>
      <c r="Q45" s="225" t="s">
        <v>15837</v>
      </c>
      <c r="R45" s="182" t="str">
        <f ca="1">IF(ISERROR($V45),"",OFFSET('Smelter Look-up'!$C$4,$V45-4,0)&amp;"")</f>
        <v/>
      </c>
      <c r="S45" s="181" t="str">
        <f t="shared" ca="1" si="5"/>
        <v>ID</v>
      </c>
      <c r="T45" s="181" t="str">
        <f ca="1">IF(B45="","",IF(ISERROR(MATCH($J45,SorP!$B$1:$B$6226,0)),"",INDIRECT("'SorP'!$A$"&amp;MATCH($S45&amp;$J45,SorP!C:C,0))))</f>
        <v>ID-BB</v>
      </c>
      <c r="U45" s="201"/>
      <c r="V45" s="226" t="e">
        <f>IF(C45="",NA(),IF(OR(C45="Smelter not listed",C45="Smelter not yet identified"),MATCH($B45&amp;$D45,'Smelter Look-up'!$J:$J,0),MATCH($B45&amp;$C45,'Smelter Look-up'!$J:$J,0)))</f>
        <v>#N/A</v>
      </c>
      <c r="X45" s="227">
        <f t="shared" si="6"/>
        <v>0</v>
      </c>
      <c r="AB45" s="228" t="str">
        <f t="shared" si="7"/>
        <v>TinPT Aries Kencana Sejahtera</v>
      </c>
    </row>
    <row r="46" spans="1:28" s="227" customFormat="1" ht="63.75">
      <c r="A46" s="181" t="s">
        <v>15862</v>
      </c>
      <c r="B46" s="182" t="s">
        <v>1099</v>
      </c>
      <c r="C46" s="186" t="s">
        <v>15863</v>
      </c>
      <c r="D46" s="230"/>
      <c r="E46" s="182" t="s">
        <v>1074</v>
      </c>
      <c r="F46" s="182" t="s">
        <v>15862</v>
      </c>
      <c r="G46" s="182" t="s">
        <v>13177</v>
      </c>
      <c r="H46" s="183">
        <v>0</v>
      </c>
      <c r="I46" s="184" t="s">
        <v>1726</v>
      </c>
      <c r="J46" s="184" t="s">
        <v>12799</v>
      </c>
      <c r="K46" s="224"/>
      <c r="L46" s="224"/>
      <c r="M46" s="224"/>
      <c r="N46" s="224"/>
      <c r="O46" s="224"/>
      <c r="P46" s="185"/>
      <c r="Q46" s="225" t="s">
        <v>15831</v>
      </c>
      <c r="R46" s="182" t="str">
        <f ca="1">IF(ISERROR($V46),"",OFFSET('Smelter Look-up'!$C$4,$V46-4,0)&amp;"")</f>
        <v/>
      </c>
      <c r="S46" s="181" t="str">
        <f t="shared" ca="1" si="5"/>
        <v>ID</v>
      </c>
      <c r="T46" s="181" t="str">
        <f ca="1">IF(B46="","",IF(ISERROR(MATCH($J46,SorP!$B$1:$B$6226,0)),"",INDIRECT("'SorP'!$A$"&amp;MATCH($S46&amp;$J46,SorP!C:C,0))))</f>
        <v>ID-BB</v>
      </c>
      <c r="U46" s="201"/>
      <c r="V46" s="226" t="e">
        <f>IF(C46="",NA(),IF(OR(C46="Smelter not listed",C46="Smelter not yet identified"),MATCH($B46&amp;$D46,'Smelter Look-up'!$J:$J,0),MATCH($B46&amp;$C46,'Smelter Look-up'!$J:$J,0)))</f>
        <v>#N/A</v>
      </c>
      <c r="X46" s="227">
        <f t="shared" si="6"/>
        <v>0</v>
      </c>
      <c r="AB46" s="228" t="str">
        <f t="shared" si="7"/>
        <v>TinPT Artha Cipta Langgeng</v>
      </c>
    </row>
    <row r="47" spans="1:28" s="227" customFormat="1" ht="51">
      <c r="A47" s="181" t="s">
        <v>15864</v>
      </c>
      <c r="B47" s="182" t="s">
        <v>1099</v>
      </c>
      <c r="C47" s="186" t="s">
        <v>15865</v>
      </c>
      <c r="D47" s="230"/>
      <c r="E47" s="182" t="s">
        <v>1074</v>
      </c>
      <c r="F47" s="182" t="s">
        <v>15864</v>
      </c>
      <c r="G47" s="182" t="s">
        <v>13177</v>
      </c>
      <c r="H47" s="183">
        <v>0</v>
      </c>
      <c r="I47" s="184" t="s">
        <v>15866</v>
      </c>
      <c r="J47" s="184" t="s">
        <v>12799</v>
      </c>
      <c r="K47" s="224"/>
      <c r="L47" s="224"/>
      <c r="M47" s="224"/>
      <c r="N47" s="224"/>
      <c r="O47" s="224"/>
      <c r="P47" s="185"/>
      <c r="Q47" s="225" t="s">
        <v>15831</v>
      </c>
      <c r="R47" s="182" t="str">
        <f ca="1">IF(ISERROR($V47),"",OFFSET('Smelter Look-up'!$C$4,$V47-4,0)&amp;"")</f>
        <v/>
      </c>
      <c r="S47" s="181" t="str">
        <f t="shared" ca="1" si="5"/>
        <v>ID</v>
      </c>
      <c r="T47" s="181" t="str">
        <f ca="1">IF(B47="","",IF(ISERROR(MATCH($J47,SorP!$B$1:$B$6226,0)),"",INDIRECT("'SorP'!$A$"&amp;MATCH($S47&amp;$J47,SorP!C:C,0))))</f>
        <v>ID-BB</v>
      </c>
      <c r="U47" s="201"/>
      <c r="V47" s="226" t="e">
        <f>IF(C47="",NA(),IF(OR(C47="Smelter not listed",C47="Smelter not yet identified"),MATCH($B47&amp;$D47,'Smelter Look-up'!$J:$J,0),MATCH($B47&amp;$C47,'Smelter Look-up'!$J:$J,0)))</f>
        <v>#N/A</v>
      </c>
      <c r="X47" s="227">
        <f t="shared" si="6"/>
        <v>0</v>
      </c>
      <c r="AB47" s="228" t="str">
        <f t="shared" si="7"/>
        <v>TinPT Babel Inti Perkasa</v>
      </c>
    </row>
    <row r="48" spans="1:28" s="227" customFormat="1" ht="63.75">
      <c r="A48" s="181" t="s">
        <v>15867</v>
      </c>
      <c r="B48" s="182" t="s">
        <v>1099</v>
      </c>
      <c r="C48" s="186" t="s">
        <v>15868</v>
      </c>
      <c r="D48" s="230"/>
      <c r="E48" s="182" t="s">
        <v>1074</v>
      </c>
      <c r="F48" s="182" t="s">
        <v>15867</v>
      </c>
      <c r="G48" s="182" t="s">
        <v>13177</v>
      </c>
      <c r="H48" s="183">
        <v>0</v>
      </c>
      <c r="I48" s="184" t="s">
        <v>15869</v>
      </c>
      <c r="J48" s="184" t="s">
        <v>12799</v>
      </c>
      <c r="K48" s="224"/>
      <c r="L48" s="224"/>
      <c r="M48" s="224"/>
      <c r="N48" s="224"/>
      <c r="O48" s="224"/>
      <c r="P48" s="185"/>
      <c r="Q48" s="225" t="s">
        <v>15831</v>
      </c>
      <c r="R48" s="182" t="str">
        <f ca="1">IF(ISERROR($V48),"",OFFSET('Smelter Look-up'!$C$4,$V48-4,0)&amp;"")</f>
        <v/>
      </c>
      <c r="S48" s="181" t="str">
        <f t="shared" ca="1" si="5"/>
        <v>ID</v>
      </c>
      <c r="T48" s="181" t="str">
        <f ca="1">IF(B48="","",IF(ISERROR(MATCH($J48,SorP!$B$1:$B$6226,0)),"",INDIRECT("'SorP'!$A$"&amp;MATCH($S48&amp;$J48,SorP!C:C,0))))</f>
        <v>ID-BB</v>
      </c>
      <c r="U48" s="201"/>
      <c r="V48" s="226" t="e">
        <f>IF(C48="",NA(),IF(OR(C48="Smelter not listed",C48="Smelter not yet identified"),MATCH($B48&amp;$D48,'Smelter Look-up'!$J:$J,0),MATCH($B48&amp;$C48,'Smelter Look-up'!$J:$J,0)))</f>
        <v>#N/A</v>
      </c>
      <c r="X48" s="227">
        <f t="shared" si="6"/>
        <v>0</v>
      </c>
      <c r="AB48" s="228" t="str">
        <f t="shared" si="7"/>
        <v>TinPT Babel Surya Alam Lestari</v>
      </c>
    </row>
    <row r="49" spans="1:28" s="227" customFormat="1" ht="51">
      <c r="A49" s="181" t="s">
        <v>15870</v>
      </c>
      <c r="B49" s="182" t="s">
        <v>1099</v>
      </c>
      <c r="C49" s="186" t="s">
        <v>15871</v>
      </c>
      <c r="D49" s="230"/>
      <c r="E49" s="182" t="s">
        <v>1074</v>
      </c>
      <c r="F49" s="182" t="s">
        <v>15870</v>
      </c>
      <c r="G49" s="182" t="s">
        <v>13177</v>
      </c>
      <c r="H49" s="183">
        <v>0</v>
      </c>
      <c r="I49" s="184" t="s">
        <v>14986</v>
      </c>
      <c r="J49" s="184" t="s">
        <v>12799</v>
      </c>
      <c r="K49" s="224"/>
      <c r="L49" s="224"/>
      <c r="M49" s="224"/>
      <c r="N49" s="224"/>
      <c r="O49" s="224"/>
      <c r="P49" s="185"/>
      <c r="Q49" s="225" t="s">
        <v>15872</v>
      </c>
      <c r="R49" s="182" t="str">
        <f ca="1">IF(ISERROR($V49),"",OFFSET('Smelter Look-up'!$C$4,$V49-4,0)&amp;"")</f>
        <v/>
      </c>
      <c r="S49" s="181" t="str">
        <f t="shared" ca="1" si="5"/>
        <v>ID</v>
      </c>
      <c r="T49" s="181" t="str">
        <f ca="1">IF(B49="","",IF(ISERROR(MATCH($J49,SorP!$B$1:$B$6226,0)),"",INDIRECT("'SorP'!$A$"&amp;MATCH($S49&amp;$J49,SorP!C:C,0))))</f>
        <v>ID-BB</v>
      </c>
      <c r="U49" s="201"/>
      <c r="V49" s="226" t="e">
        <f>IF(C49="",NA(),IF(OR(C49="Smelter not listed",C49="Smelter not yet identified"),MATCH($B49&amp;$D49,'Smelter Look-up'!$J:$J,0),MATCH($B49&amp;$C49,'Smelter Look-up'!$J:$J,0)))</f>
        <v>#N/A</v>
      </c>
      <c r="X49" s="227">
        <f t="shared" si="6"/>
        <v>0</v>
      </c>
      <c r="AB49" s="228" t="str">
        <f t="shared" si="7"/>
        <v>TinPT Stanindo Inti Perkasa</v>
      </c>
    </row>
    <row r="50" spans="1:28" s="227" customFormat="1" ht="63.75">
      <c r="A50" s="181" t="s">
        <v>1368</v>
      </c>
      <c r="B50" s="182" t="s">
        <v>1099</v>
      </c>
      <c r="C50" s="186" t="s">
        <v>1367</v>
      </c>
      <c r="D50" s="230"/>
      <c r="E50" s="182" t="s">
        <v>1074</v>
      </c>
      <c r="F50" s="182" t="s">
        <v>1368</v>
      </c>
      <c r="G50" s="182" t="s">
        <v>13177</v>
      </c>
      <c r="H50" s="183">
        <v>0</v>
      </c>
      <c r="I50" s="184" t="s">
        <v>1726</v>
      </c>
      <c r="J50" s="184" t="s">
        <v>12799</v>
      </c>
      <c r="K50" s="224"/>
      <c r="L50" s="224"/>
      <c r="M50" s="224"/>
      <c r="N50" s="224"/>
      <c r="O50" s="224"/>
      <c r="P50" s="185"/>
      <c r="Q50" s="225" t="s">
        <v>15831</v>
      </c>
      <c r="R50" s="182" t="str">
        <f ca="1">IF(ISERROR($V50),"",OFFSET('Smelter Look-up'!$C$4,$V50-4,0)&amp;"")</f>
        <v>PT ATD Makmur Mandiri Jaya</v>
      </c>
      <c r="S50" s="181" t="str">
        <f t="shared" ca="1" si="5"/>
        <v>ID</v>
      </c>
      <c r="T50" s="181" t="str">
        <f ca="1">IF(B50="","",IF(ISERROR(MATCH($J50,SorP!$B$1:$B$6226,0)),"",INDIRECT("'SorP'!$A$"&amp;MATCH($S50&amp;$J50,SorP!C:C,0))))</f>
        <v>ID-BB</v>
      </c>
      <c r="U50" s="201"/>
      <c r="V50" s="226">
        <f>IF(C50="",NA(),IF(OR(C50="Smelter not listed",C50="Smelter not yet identified"),MATCH($B50&amp;$D50,'Smelter Look-up'!$J:$J,0),MATCH($B50&amp;$C50,'Smelter Look-up'!$J:$J,0)))</f>
        <v>499</v>
      </c>
      <c r="X50" s="227">
        <f t="shared" si="6"/>
        <v>0</v>
      </c>
      <c r="AB50" s="228" t="str">
        <f t="shared" si="7"/>
        <v>TinPT ATD Makmur Mandiri Jaya</v>
      </c>
    </row>
    <row r="51" spans="1:28" s="227" customFormat="1" ht="51">
      <c r="A51" s="181" t="s">
        <v>15873</v>
      </c>
      <c r="B51" s="182" t="s">
        <v>1099</v>
      </c>
      <c r="C51" s="186" t="s">
        <v>15874</v>
      </c>
      <c r="D51" s="230"/>
      <c r="E51" s="182" t="s">
        <v>1074</v>
      </c>
      <c r="F51" s="182" t="s">
        <v>15873</v>
      </c>
      <c r="G51" s="182" t="s">
        <v>13177</v>
      </c>
      <c r="H51" s="183">
        <v>0</v>
      </c>
      <c r="I51" s="184" t="s">
        <v>14989</v>
      </c>
      <c r="J51" s="184" t="s">
        <v>12799</v>
      </c>
      <c r="K51" s="224"/>
      <c r="L51" s="224"/>
      <c r="M51" s="224"/>
      <c r="N51" s="224"/>
      <c r="O51" s="224"/>
      <c r="P51" s="185"/>
      <c r="Q51" s="225" t="s">
        <v>15837</v>
      </c>
      <c r="R51" s="182" t="str">
        <f ca="1">IF(ISERROR($V51),"",OFFSET('Smelter Look-up'!$C$4,$V51-4,0)&amp;"")</f>
        <v/>
      </c>
      <c r="S51" s="181" t="str">
        <f t="shared" ca="1" si="5"/>
        <v>ID</v>
      </c>
      <c r="T51" s="181" t="str">
        <f ca="1">IF(B51="","",IF(ISERROR(MATCH($J51,SorP!$B$1:$B$6226,0)),"",INDIRECT("'SorP'!$A$"&amp;MATCH($S51&amp;$J51,SorP!C:C,0))))</f>
        <v>ID-BB</v>
      </c>
      <c r="U51" s="201"/>
      <c r="V51" s="226" t="e">
        <f>IF(C51="",NA(),IF(OR(C51="Smelter not listed",C51="Smelter not yet identified"),MATCH($B51&amp;$D51,'Smelter Look-up'!$J:$J,0),MATCH($B51&amp;$C51,'Smelter Look-up'!$J:$J,0)))</f>
        <v>#N/A</v>
      </c>
      <c r="X51" s="227">
        <f t="shared" si="6"/>
        <v>0</v>
      </c>
      <c r="AB51" s="228" t="str">
        <f t="shared" si="7"/>
        <v>TinPT Bangka Serumpun</v>
      </c>
    </row>
    <row r="52" spans="1:28" s="227" customFormat="1" ht="51">
      <c r="A52" s="181" t="s">
        <v>15875</v>
      </c>
      <c r="B52" s="182" t="s">
        <v>1099</v>
      </c>
      <c r="C52" s="186" t="s">
        <v>15876</v>
      </c>
      <c r="D52" s="230"/>
      <c r="E52" s="182" t="s">
        <v>1074</v>
      </c>
      <c r="F52" s="182" t="s">
        <v>15875</v>
      </c>
      <c r="G52" s="182" t="s">
        <v>13177</v>
      </c>
      <c r="H52" s="183">
        <v>0</v>
      </c>
      <c r="I52" s="184" t="s">
        <v>15877</v>
      </c>
      <c r="J52" s="184" t="s">
        <v>12799</v>
      </c>
      <c r="K52" s="224"/>
      <c r="L52" s="224"/>
      <c r="M52" s="224"/>
      <c r="N52" s="224"/>
      <c r="O52" s="224"/>
      <c r="P52" s="185"/>
      <c r="Q52" s="225" t="s">
        <v>15837</v>
      </c>
      <c r="R52" s="182" t="str">
        <f ca="1">IF(ISERROR($V52),"",OFFSET('Smelter Look-up'!$C$4,$V52-4,0)&amp;"")</f>
        <v/>
      </c>
      <c r="S52" s="181" t="str">
        <f t="shared" ca="1" si="5"/>
        <v>ID</v>
      </c>
      <c r="T52" s="181" t="str">
        <f ca="1">IF(B52="","",IF(ISERROR(MATCH($J52,SorP!$B$1:$B$6226,0)),"",INDIRECT("'SorP'!$A$"&amp;MATCH($S52&amp;$J52,SorP!C:C,0))))</f>
        <v>ID-BB</v>
      </c>
      <c r="U52" s="201"/>
      <c r="V52" s="226" t="e">
        <f>IF(C52="",NA(),IF(OR(C52="Smelter not listed",C52="Smelter not yet identified"),MATCH($B52&amp;$D52,'Smelter Look-up'!$J:$J,0),MATCH($B52&amp;$C52,'Smelter Look-up'!$J:$J,0)))</f>
        <v>#N/A</v>
      </c>
      <c r="X52" s="227">
        <f t="shared" si="6"/>
        <v>0</v>
      </c>
      <c r="AB52" s="228" t="str">
        <f t="shared" si="7"/>
        <v>TinPT Rajawali Rimba Perkasa</v>
      </c>
    </row>
    <row r="53" spans="1:28" s="227" customFormat="1" ht="63.75">
      <c r="A53" s="181" t="s">
        <v>13775</v>
      </c>
      <c r="B53" s="182" t="s">
        <v>1099</v>
      </c>
      <c r="C53" s="186" t="s">
        <v>13761</v>
      </c>
      <c r="D53" s="230"/>
      <c r="E53" s="182" t="s">
        <v>1074</v>
      </c>
      <c r="F53" s="182" t="s">
        <v>13775</v>
      </c>
      <c r="G53" s="182" t="s">
        <v>13177</v>
      </c>
      <c r="H53" s="183">
        <v>0</v>
      </c>
      <c r="I53" s="184" t="s">
        <v>14989</v>
      </c>
      <c r="J53" s="184" t="s">
        <v>12799</v>
      </c>
      <c r="K53" s="224"/>
      <c r="L53" s="224"/>
      <c r="M53" s="224"/>
      <c r="N53" s="224"/>
      <c r="O53" s="224"/>
      <c r="P53" s="185"/>
      <c r="Q53" s="225" t="s">
        <v>15878</v>
      </c>
      <c r="R53" s="182" t="str">
        <f ca="1">IF(ISERROR($V53),"",OFFSET('Smelter Look-up'!$C$4,$V53-4,0)&amp;"")</f>
        <v>PT Mitra Sukses Globalindo</v>
      </c>
      <c r="S53" s="181" t="str">
        <f t="shared" ca="1" si="5"/>
        <v>ID</v>
      </c>
      <c r="T53" s="181" t="str">
        <f ca="1">IF(B53="","",IF(ISERROR(MATCH($J53,SorP!$B$1:$B$6226,0)),"",INDIRECT("'SorP'!$A$"&amp;MATCH($S53&amp;$J53,SorP!C:C,0))))</f>
        <v>ID-BB</v>
      </c>
      <c r="U53" s="201"/>
      <c r="V53" s="226">
        <f>IF(C53="",NA(),IF(OR(C53="Smelter not listed",C53="Smelter not yet identified"),MATCH($B53&amp;$D53,'Smelter Look-up'!$J:$J,0),MATCH($B53&amp;$C53,'Smelter Look-up'!$J:$J,0)))</f>
        <v>503</v>
      </c>
      <c r="X53" s="227">
        <f t="shared" si="6"/>
        <v>0</v>
      </c>
      <c r="AB53" s="228" t="str">
        <f t="shared" si="7"/>
        <v>TinPT Mitra Sukses Globalindo</v>
      </c>
    </row>
    <row r="54" spans="1:28" s="227" customFormat="1" ht="51">
      <c r="A54" s="181" t="s">
        <v>15879</v>
      </c>
      <c r="B54" s="182" t="s">
        <v>1099</v>
      </c>
      <c r="C54" s="186" t="s">
        <v>15880</v>
      </c>
      <c r="D54" s="230"/>
      <c r="E54" s="182" t="s">
        <v>1074</v>
      </c>
      <c r="F54" s="182" t="s">
        <v>15879</v>
      </c>
      <c r="G54" s="182" t="s">
        <v>13177</v>
      </c>
      <c r="H54" s="183">
        <v>0</v>
      </c>
      <c r="I54" s="184" t="s">
        <v>14986</v>
      </c>
      <c r="J54" s="184" t="s">
        <v>12799</v>
      </c>
      <c r="K54" s="224"/>
      <c r="L54" s="224"/>
      <c r="M54" s="224"/>
      <c r="N54" s="224"/>
      <c r="O54" s="224"/>
      <c r="P54" s="185"/>
      <c r="Q54" s="225" t="s">
        <v>15838</v>
      </c>
      <c r="R54" s="182" t="str">
        <f ca="1">IF(ISERROR($V54),"",OFFSET('Smelter Look-up'!$C$4,$V54-4,0)&amp;"")</f>
        <v/>
      </c>
      <c r="S54" s="181" t="str">
        <f t="shared" ca="1" si="5"/>
        <v>ID</v>
      </c>
      <c r="T54" s="181" t="str">
        <f ca="1">IF(B54="","",IF(ISERROR(MATCH($J54,SorP!$B$1:$B$6226,0)),"",INDIRECT("'SorP'!$A$"&amp;MATCH($S54&amp;$J54,SorP!C:C,0))))</f>
        <v>ID-BB</v>
      </c>
      <c r="U54" s="201"/>
      <c r="V54" s="226" t="e">
        <f>IF(C54="",NA(),IF(OR(C54="Smelter not listed",C54="Smelter not yet identified"),MATCH($B54&amp;$D54,'Smelter Look-up'!$J:$J,0),MATCH($B54&amp;$C54,'Smelter Look-up'!$J:$J,0)))</f>
        <v>#N/A</v>
      </c>
      <c r="X54" s="227">
        <f t="shared" si="6"/>
        <v>0</v>
      </c>
      <c r="AB54" s="228" t="str">
        <f t="shared" si="7"/>
        <v>TinPT Tinindo Inter Nusa</v>
      </c>
    </row>
    <row r="55" spans="1:28" s="227" customFormat="1" ht="38.25">
      <c r="A55" s="181" t="s">
        <v>15881</v>
      </c>
      <c r="B55" s="182" t="s">
        <v>1099</v>
      </c>
      <c r="C55" s="186" t="s">
        <v>15882</v>
      </c>
      <c r="D55" s="230"/>
      <c r="E55" s="182" t="s">
        <v>1074</v>
      </c>
      <c r="F55" s="182" t="s">
        <v>15881</v>
      </c>
      <c r="G55" s="182" t="s">
        <v>13177</v>
      </c>
      <c r="H55" s="183">
        <v>0</v>
      </c>
      <c r="I55" s="184" t="s">
        <v>14986</v>
      </c>
      <c r="J55" s="184" t="s">
        <v>12799</v>
      </c>
      <c r="K55" s="224"/>
      <c r="L55" s="224"/>
      <c r="M55" s="224"/>
      <c r="N55" s="224"/>
      <c r="O55" s="224"/>
      <c r="P55" s="185"/>
      <c r="Q55" s="225" t="s">
        <v>15831</v>
      </c>
      <c r="R55" s="182" t="str">
        <f ca="1">IF(ISERROR($V55),"",OFFSET('Smelter Look-up'!$C$4,$V55-4,0)&amp;"")</f>
        <v/>
      </c>
      <c r="S55" s="181" t="str">
        <f t="shared" ca="1" si="5"/>
        <v>ID</v>
      </c>
      <c r="T55" s="181" t="str">
        <f ca="1">IF(B55="","",IF(ISERROR(MATCH($J55,SorP!$B$1:$B$6226,0)),"",INDIRECT("'SorP'!$A$"&amp;MATCH($S55&amp;$J55,SorP!C:C,0))))</f>
        <v>ID-BB</v>
      </c>
      <c r="U55" s="201"/>
      <c r="V55" s="226" t="e">
        <f>IF(C55="",NA(),IF(OR(C55="Smelter not listed",C55="Smelter not yet identified"),MATCH($B55&amp;$D55,'Smelter Look-up'!$J:$J,0),MATCH($B55&amp;$C55,'Smelter Look-up'!$J:$J,0)))</f>
        <v>#N/A</v>
      </c>
      <c r="X55" s="227">
        <f t="shared" si="6"/>
        <v>0</v>
      </c>
      <c r="AB55" s="228" t="str">
        <f t="shared" si="7"/>
        <v>TinPT Bukit Timah</v>
      </c>
    </row>
    <row r="56" spans="1:28" s="227" customFormat="1" ht="51">
      <c r="A56" s="181" t="s">
        <v>637</v>
      </c>
      <c r="B56" s="182" t="s">
        <v>1098</v>
      </c>
      <c r="C56" s="186" t="s">
        <v>2236</v>
      </c>
      <c r="D56" s="230"/>
      <c r="E56" s="182" t="s">
        <v>1067</v>
      </c>
      <c r="F56" s="182" t="s">
        <v>637</v>
      </c>
      <c r="G56" s="182" t="s">
        <v>13177</v>
      </c>
      <c r="H56" s="183">
        <v>0</v>
      </c>
      <c r="I56" s="184" t="s">
        <v>1516</v>
      </c>
      <c r="J56" s="184" t="s">
        <v>1517</v>
      </c>
      <c r="K56" s="224"/>
      <c r="L56" s="224"/>
      <c r="M56" s="224"/>
      <c r="N56" s="224"/>
      <c r="O56" s="224"/>
      <c r="P56" s="185"/>
      <c r="Q56" s="225" t="s">
        <v>15838</v>
      </c>
      <c r="R56" s="182" t="str">
        <f ca="1">IF(ISERROR($V56),"",OFFSET('Smelter Look-up'!$C$4,$V56-4,0)&amp;"")</f>
        <v>Argor-Heraeus S.A.</v>
      </c>
      <c r="S56" s="181" t="str">
        <f t="shared" ca="1" si="5"/>
        <v>CH</v>
      </c>
      <c r="T56" s="181" t="str">
        <f ca="1">IF(B56="","",IF(ISERROR(MATCH($J56,SorP!$B$1:$B$6226,0)),"",INDIRECT("'SorP'!$A$"&amp;MATCH($S56&amp;$J56,SorP!C:C,0))))</f>
        <v>CH-TI</v>
      </c>
      <c r="U56" s="201"/>
      <c r="V56" s="226">
        <f>IF(C56="",NA(),IF(OR(C56="Smelter not listed",C56="Smelter not yet identified"),MATCH($B56&amp;$D56,'Smelter Look-up'!$J:$J,0),MATCH($B56&amp;$C56,'Smelter Look-up'!$J:$J,0)))</f>
        <v>28</v>
      </c>
      <c r="X56" s="227">
        <f t="shared" si="6"/>
        <v>0</v>
      </c>
      <c r="AB56" s="228" t="str">
        <f t="shared" si="7"/>
        <v>GoldArgor-Heraeus S.A.</v>
      </c>
    </row>
    <row r="57" spans="1:28" s="227" customFormat="1" ht="25.5">
      <c r="A57" s="181" t="s">
        <v>641</v>
      </c>
      <c r="B57" s="182" t="s">
        <v>1098</v>
      </c>
      <c r="C57" s="186" t="s">
        <v>1191</v>
      </c>
      <c r="D57" s="230"/>
      <c r="E57" s="182" t="s">
        <v>1070</v>
      </c>
      <c r="F57" s="182" t="s">
        <v>641</v>
      </c>
      <c r="G57" s="182" t="s">
        <v>13177</v>
      </c>
      <c r="H57" s="183">
        <v>0</v>
      </c>
      <c r="I57" s="184" t="s">
        <v>1523</v>
      </c>
      <c r="J57" s="184" t="s">
        <v>1523</v>
      </c>
      <c r="K57" s="224"/>
      <c r="L57" s="224"/>
      <c r="M57" s="224"/>
      <c r="N57" s="224"/>
      <c r="O57" s="224"/>
      <c r="P57" s="185"/>
      <c r="Q57" s="225" t="s">
        <v>15838</v>
      </c>
      <c r="R57" s="182" t="str">
        <f ca="1">IF(ISERROR($V57),"",OFFSET('Smelter Look-up'!$C$4,$V57-4,0)&amp;"")</f>
        <v>Aurubis AG</v>
      </c>
      <c r="S57" s="181" t="str">
        <f t="shared" ca="1" si="5"/>
        <v>DE</v>
      </c>
      <c r="T57" s="181" t="str">
        <f ca="1">IF(B57="","",IF(ISERROR(MATCH($J57,SorP!$B$1:$B$6226,0)),"",INDIRECT("'SorP'!$A$"&amp;MATCH($S57&amp;$J57,SorP!C:C,0))))</f>
        <v>DE-HH</v>
      </c>
      <c r="U57" s="201"/>
      <c r="V57" s="226">
        <f>IF(C57="",NA(),IF(OR(C57="Smelter not listed",C57="Smelter not yet identified"),MATCH($B57&amp;$D57,'Smelter Look-up'!$J:$J,0),MATCH($B57&amp;$C57,'Smelter Look-up'!$J:$J,0)))</f>
        <v>39</v>
      </c>
      <c r="X57" s="227">
        <f t="shared" si="6"/>
        <v>0</v>
      </c>
      <c r="AB57" s="228" t="str">
        <f t="shared" si="7"/>
        <v>GoldAurubis AG</v>
      </c>
    </row>
    <row r="58" spans="1:28" s="227" customFormat="1" ht="38.25">
      <c r="A58" s="181" t="s">
        <v>649</v>
      </c>
      <c r="B58" s="182" t="s">
        <v>1098</v>
      </c>
      <c r="C58" s="186" t="s">
        <v>50</v>
      </c>
      <c r="D58" s="230"/>
      <c r="E58" s="182" t="s">
        <v>1076</v>
      </c>
      <c r="F58" s="182" t="s">
        <v>649</v>
      </c>
      <c r="G58" s="182" t="s">
        <v>13177</v>
      </c>
      <c r="H58" s="183">
        <v>0</v>
      </c>
      <c r="I58" s="184" t="s">
        <v>1536</v>
      </c>
      <c r="J58" s="184" t="s">
        <v>6417</v>
      </c>
      <c r="K58" s="224"/>
      <c r="L58" s="224"/>
      <c r="M58" s="224"/>
      <c r="N58" s="224"/>
      <c r="O58" s="224"/>
      <c r="P58" s="185"/>
      <c r="Q58" s="225" t="s">
        <v>15838</v>
      </c>
      <c r="R58" s="182" t="str">
        <f ca="1">IF(ISERROR($V58),"",OFFSET('Smelter Look-up'!$C$4,$V58-4,0)&amp;"")</f>
        <v>Chimet S.p.A.</v>
      </c>
      <c r="S58" s="181" t="str">
        <f t="shared" ca="1" si="5"/>
        <v>IT</v>
      </c>
      <c r="T58" s="181" t="str">
        <f ca="1">IF(B58="","",IF(ISERROR(MATCH($J58,SorP!$B$1:$B$6226,0)),"",INDIRECT("'SorP'!$A$"&amp;MATCH($S58&amp;$J58,SorP!C:C,0))))</f>
        <v>IT-52</v>
      </c>
      <c r="U58" s="201"/>
      <c r="V58" s="226">
        <f>IF(C58="",NA(),IF(OR(C58="Smelter not listed",C58="Smelter not yet identified"),MATCH($B58&amp;$D58,'Smelter Look-up'!$J:$J,0),MATCH($B58&amp;$C58,'Smelter Look-up'!$J:$J,0)))</f>
        <v>56</v>
      </c>
      <c r="X58" s="227">
        <f t="shared" si="6"/>
        <v>0</v>
      </c>
      <c r="AB58" s="228" t="str">
        <f t="shared" si="7"/>
        <v>GoldChimet S.p.A.</v>
      </c>
    </row>
    <row r="59" spans="1:28" s="227" customFormat="1" ht="51">
      <c r="A59" s="181" t="s">
        <v>645</v>
      </c>
      <c r="B59" s="182" t="s">
        <v>1098</v>
      </c>
      <c r="C59" s="186" t="s">
        <v>644</v>
      </c>
      <c r="D59" s="230"/>
      <c r="E59" s="182" t="s">
        <v>1070</v>
      </c>
      <c r="F59" s="182" t="s">
        <v>645</v>
      </c>
      <c r="G59" s="182" t="s">
        <v>13177</v>
      </c>
      <c r="H59" s="183">
        <v>0</v>
      </c>
      <c r="I59" s="184" t="s">
        <v>1510</v>
      </c>
      <c r="J59" s="184" t="s">
        <v>1511</v>
      </c>
      <c r="K59" s="224"/>
      <c r="L59" s="224"/>
      <c r="M59" s="224"/>
      <c r="N59" s="224"/>
      <c r="O59" s="224"/>
      <c r="P59" s="185"/>
      <c r="Q59" s="225" t="s">
        <v>15838</v>
      </c>
      <c r="R59" s="182" t="str">
        <f ca="1">IF(ISERROR($V59),"",OFFSET('Smelter Look-up'!$C$4,$V59-4,0)&amp;"")</f>
        <v>C. Hafner GmbH + Co. KG</v>
      </c>
      <c r="S59" s="181" t="str">
        <f t="shared" ca="1" si="5"/>
        <v>DE</v>
      </c>
      <c r="T59" s="181" t="str">
        <f ca="1">IF(B59="","",IF(ISERROR(MATCH($J59,SorP!$B$1:$B$6226,0)),"",INDIRECT("'SorP'!$A$"&amp;MATCH($S59&amp;$J59,SorP!C:C,0))))</f>
        <v>DE-BW</v>
      </c>
      <c r="U59" s="201"/>
      <c r="V59" s="226">
        <f>IF(C59="",NA(),IF(OR(C59="Smelter not listed",C59="Smelter not yet identified"),MATCH($B59&amp;$D59,'Smelter Look-up'!$J:$J,0),MATCH($B59&amp;$C59,'Smelter Look-up'!$J:$J,0)))</f>
        <v>45</v>
      </c>
      <c r="X59" s="227">
        <f t="shared" si="6"/>
        <v>0</v>
      </c>
      <c r="AB59" s="228" t="str">
        <f t="shared" si="7"/>
        <v>GoldC. Hafner GmbH + Co. KG</v>
      </c>
    </row>
    <row r="60" spans="1:28" s="227" customFormat="1" ht="63.75">
      <c r="A60" s="181" t="s">
        <v>661</v>
      </c>
      <c r="B60" s="182" t="s">
        <v>1098</v>
      </c>
      <c r="C60" s="186" t="s">
        <v>14928</v>
      </c>
      <c r="D60" s="230"/>
      <c r="E60" s="182" t="s">
        <v>1070</v>
      </c>
      <c r="F60" s="182" t="s">
        <v>661</v>
      </c>
      <c r="G60" s="182" t="s">
        <v>13177</v>
      </c>
      <c r="H60" s="183">
        <v>0</v>
      </c>
      <c r="I60" s="184" t="s">
        <v>1556</v>
      </c>
      <c r="J60" s="184" t="s">
        <v>4195</v>
      </c>
      <c r="K60" s="224"/>
      <c r="L60" s="224"/>
      <c r="M60" s="224"/>
      <c r="N60" s="224"/>
      <c r="O60" s="224"/>
      <c r="P60" s="185"/>
      <c r="Q60" s="225" t="s">
        <v>15838</v>
      </c>
      <c r="R60" s="182" t="str">
        <f ca="1">IF(ISERROR($V60),"",OFFSET('Smelter Look-up'!$C$4,$V60-4,0)&amp;"")</f>
        <v>Heraeus Germany GmbH Co. KG</v>
      </c>
      <c r="S60" s="181" t="str">
        <f t="shared" ca="1" si="5"/>
        <v>DE</v>
      </c>
      <c r="T60" s="181" t="str">
        <f ca="1">IF(B60="","",IF(ISERROR(MATCH($J60,SorP!$B$1:$B$6226,0)),"",INDIRECT("'SorP'!$A$"&amp;MATCH($S60&amp;$J60,SorP!C:C,0))))</f>
        <v>DE-HE</v>
      </c>
      <c r="U60" s="201"/>
      <c r="V60" s="226">
        <f>IF(C60="",NA(),IF(OR(C60="Smelter not listed",C60="Smelter not yet identified"),MATCH($B60&amp;$D60,'Smelter Look-up'!$J:$J,0),MATCH($B60&amp;$C60,'Smelter Look-up'!$J:$J,0)))</f>
        <v>108</v>
      </c>
      <c r="X60" s="227">
        <f t="shared" si="6"/>
        <v>0</v>
      </c>
      <c r="AB60" s="228" t="str">
        <f t="shared" si="7"/>
        <v>GoldHeraeus Germany GmbH Co. KG</v>
      </c>
    </row>
    <row r="61" spans="1:28" s="227" customFormat="1" ht="63.75">
      <c r="A61" s="181" t="s">
        <v>708</v>
      </c>
      <c r="B61" s="182" t="s">
        <v>1098</v>
      </c>
      <c r="C61" s="186" t="s">
        <v>12380</v>
      </c>
      <c r="D61" s="230"/>
      <c r="E61" s="182" t="s">
        <v>1071</v>
      </c>
      <c r="F61" s="182" t="s">
        <v>708</v>
      </c>
      <c r="G61" s="182" t="s">
        <v>13177</v>
      </c>
      <c r="H61" s="183">
        <v>0</v>
      </c>
      <c r="I61" s="184" t="s">
        <v>1617</v>
      </c>
      <c r="J61" s="184" t="s">
        <v>4621</v>
      </c>
      <c r="K61" s="224"/>
      <c r="L61" s="224"/>
      <c r="M61" s="224"/>
      <c r="N61" s="224"/>
      <c r="O61" s="224"/>
      <c r="P61" s="185"/>
      <c r="Q61" s="225" t="s">
        <v>15838</v>
      </c>
      <c r="R61" s="182" t="str">
        <f ca="1">IF(ISERROR($V61),"",OFFSET('Smelter Look-up'!$C$4,$V61-4,0)&amp;"")</f>
        <v>SEMPSA Joyeria Plateria S.A.</v>
      </c>
      <c r="S61" s="181" t="str">
        <f t="shared" ca="1" si="5"/>
        <v>ES</v>
      </c>
      <c r="T61" s="181" t="str">
        <f ca="1">IF(B61="","",IF(ISERROR(MATCH($J61,SorP!$B$1:$B$6226,0)),"",INDIRECT("'SorP'!$A$"&amp;MATCH($S61&amp;$J61,SorP!C:C,0))))</f>
        <v>ES-MD</v>
      </c>
      <c r="U61" s="201"/>
      <c r="V61" s="226">
        <f>IF(C61="",NA(),IF(OR(C61="Smelter not listed",C61="Smelter not yet identified"),MATCH($B61&amp;$D61,'Smelter Look-up'!$J:$J,0),MATCH($B61&amp;$C61,'Smelter Look-up'!$J:$J,0)))</f>
        <v>242</v>
      </c>
      <c r="X61" s="227">
        <f t="shared" si="6"/>
        <v>0</v>
      </c>
      <c r="AB61" s="228" t="str">
        <f t="shared" si="7"/>
        <v>GoldSEMPSA Joyeria Plateria S.A.</v>
      </c>
    </row>
    <row r="62" spans="1:28" s="227" customFormat="1" ht="102">
      <c r="A62" s="181" t="s">
        <v>719</v>
      </c>
      <c r="B62" s="182" t="s">
        <v>1098</v>
      </c>
      <c r="C62" s="186" t="s">
        <v>2283</v>
      </c>
      <c r="D62" s="230"/>
      <c r="E62" s="182" t="s">
        <v>1064</v>
      </c>
      <c r="F62" s="182" t="s">
        <v>719</v>
      </c>
      <c r="G62" s="182" t="s">
        <v>13177</v>
      </c>
      <c r="H62" s="183">
        <v>0</v>
      </c>
      <c r="I62" s="184" t="s">
        <v>1641</v>
      </c>
      <c r="J62" s="184" t="s">
        <v>3104</v>
      </c>
      <c r="K62" s="224"/>
      <c r="L62" s="224"/>
      <c r="M62" s="224"/>
      <c r="N62" s="224"/>
      <c r="O62" s="224"/>
      <c r="P62" s="185"/>
      <c r="Q62" s="225" t="s">
        <v>15837</v>
      </c>
      <c r="R62" s="182" t="str">
        <f ca="1">IF(ISERROR($V62),"",OFFSET('Smelter Look-up'!$C$4,$V62-4,0)&amp;"")</f>
        <v>Umicore S.A. Business Unit Precious Metals Refining</v>
      </c>
      <c r="S62" s="181" t="str">
        <f t="shared" ca="1" si="5"/>
        <v>BE</v>
      </c>
      <c r="T62" s="181" t="str">
        <f ca="1">IF(B62="","",IF(ISERROR(MATCH($J62,SorP!$B$1:$B$6226,0)),"",INDIRECT("'SorP'!$A$"&amp;MATCH($S62&amp;$J62,SorP!C:C,0))))</f>
        <v>BE-VAN</v>
      </c>
      <c r="U62" s="201"/>
      <c r="V62" s="226">
        <f>IF(C62="",NA(),IF(OR(C62="Smelter not listed",C62="Smelter not yet identified"),MATCH($B62&amp;$D62,'Smelter Look-up'!$J:$J,0),MATCH($B62&amp;$C62,'Smelter Look-up'!$J:$J,0)))</f>
        <v>302</v>
      </c>
      <c r="X62" s="227">
        <f t="shared" si="6"/>
        <v>0</v>
      </c>
      <c r="AB62" s="228" t="str">
        <f t="shared" si="7"/>
        <v>GoldUmicore S.A. Business Unit Precious Metals Refining</v>
      </c>
    </row>
    <row r="63" spans="1:28" s="227" customFormat="1" ht="51">
      <c r="A63" s="181" t="s">
        <v>659</v>
      </c>
      <c r="B63" s="182" t="s">
        <v>1098</v>
      </c>
      <c r="C63" s="186" t="s">
        <v>1008</v>
      </c>
      <c r="D63" s="230"/>
      <c r="E63" s="182" t="s">
        <v>1070</v>
      </c>
      <c r="F63" s="182" t="s">
        <v>659</v>
      </c>
      <c r="G63" s="182" t="s">
        <v>13177</v>
      </c>
      <c r="H63" s="183">
        <v>0</v>
      </c>
      <c r="I63" s="184" t="s">
        <v>1510</v>
      </c>
      <c r="J63" s="184" t="s">
        <v>1511</v>
      </c>
      <c r="K63" s="224"/>
      <c r="L63" s="224"/>
      <c r="M63" s="224"/>
      <c r="N63" s="224"/>
      <c r="O63" s="224"/>
      <c r="P63" s="185"/>
      <c r="Q63" s="225" t="s">
        <v>15838</v>
      </c>
      <c r="R63" s="182" t="str">
        <f ca="1">IF(ISERROR($V63),"",OFFSET('Smelter Look-up'!$C$4,$V63-4,0)&amp;"")</f>
        <v>Heimerle + Meule GmbH</v>
      </c>
      <c r="S63" s="181" t="str">
        <f t="shared" ca="1" si="5"/>
        <v>DE</v>
      </c>
      <c r="T63" s="181" t="str">
        <f ca="1">IF(B63="","",IF(ISERROR(MATCH($J63,SorP!$B$1:$B$6226,0)),"",INDIRECT("'SorP'!$A$"&amp;MATCH($S63&amp;$J63,SorP!C:C,0))))</f>
        <v>DE-BW</v>
      </c>
      <c r="U63" s="201"/>
      <c r="V63" s="226">
        <f>IF(C63="",NA(),IF(OR(C63="Smelter not listed",C63="Smelter not yet identified"),MATCH($B63&amp;$D63,'Smelter Look-up'!$J:$J,0),MATCH($B63&amp;$C63,'Smelter Look-up'!$J:$J,0)))</f>
        <v>104</v>
      </c>
      <c r="X63" s="227">
        <f t="shared" si="6"/>
        <v>0</v>
      </c>
      <c r="AB63" s="228" t="str">
        <f t="shared" si="7"/>
        <v>GoldHeimerle + Meule GmbH</v>
      </c>
    </row>
    <row r="64" spans="1:28" s="227" customFormat="1" ht="89.25">
      <c r="A64" s="181" t="s">
        <v>686</v>
      </c>
      <c r="B64" s="182" t="s">
        <v>1098</v>
      </c>
      <c r="C64" s="186" t="s">
        <v>2105</v>
      </c>
      <c r="D64" s="230"/>
      <c r="E64" s="182" t="s">
        <v>1069</v>
      </c>
      <c r="F64" s="182" t="s">
        <v>686</v>
      </c>
      <c r="G64" s="182" t="s">
        <v>13177</v>
      </c>
      <c r="H64" s="183">
        <v>0</v>
      </c>
      <c r="I64" s="184" t="s">
        <v>1587</v>
      </c>
      <c r="J64" s="184" t="s">
        <v>15604</v>
      </c>
      <c r="K64" s="224"/>
      <c r="L64" s="224"/>
      <c r="M64" s="224"/>
      <c r="N64" s="224"/>
      <c r="O64" s="224"/>
      <c r="P64" s="185"/>
      <c r="Q64" s="225" t="s">
        <v>15838</v>
      </c>
      <c r="R64" s="182" t="str">
        <f ca="1">IF(ISERROR($V64),"",OFFSET('Smelter Look-up'!$C$4,$V64-4,0)&amp;"")</f>
        <v>Metalor Technologies (Hong Kong) Ltd.</v>
      </c>
      <c r="S64" s="181" t="str">
        <f t="shared" ca="1" si="5"/>
        <v>CN</v>
      </c>
      <c r="T64" s="181" t="str">
        <f ca="1">IF(B64="","",IF(ISERROR(MATCH($J64,SorP!$B$1:$B$6226,0)),"",INDIRECT("'SorP'!$A$"&amp;MATCH($S64&amp;$J64,SorP!C:C,0))))</f>
        <v>CN-HK</v>
      </c>
      <c r="U64" s="201"/>
      <c r="V64" s="226">
        <f>IF(C64="",NA(),IF(OR(C64="Smelter not listed",C64="Smelter not yet identified"),MATCH($B64&amp;$D64,'Smelter Look-up'!$J:$J,0),MATCH($B64&amp;$C64,'Smelter Look-up'!$J:$J,0)))</f>
        <v>178</v>
      </c>
      <c r="X64" s="227">
        <f t="shared" si="6"/>
        <v>0</v>
      </c>
      <c r="AB64" s="228" t="str">
        <f t="shared" si="7"/>
        <v>GoldMetalor Technologies (Hong Kong) Ltd.</v>
      </c>
    </row>
    <row r="65" spans="1:28" s="227" customFormat="1" ht="102">
      <c r="A65" s="181" t="s">
        <v>687</v>
      </c>
      <c r="B65" s="182" t="s">
        <v>1098</v>
      </c>
      <c r="C65" s="186" t="s">
        <v>2106</v>
      </c>
      <c r="D65" s="230"/>
      <c r="E65" s="182" t="s">
        <v>857</v>
      </c>
      <c r="F65" s="182" t="s">
        <v>687</v>
      </c>
      <c r="G65" s="182" t="s">
        <v>13177</v>
      </c>
      <c r="H65" s="183">
        <v>0</v>
      </c>
      <c r="I65" s="184" t="s">
        <v>12670</v>
      </c>
      <c r="J65" s="184" t="s">
        <v>10242</v>
      </c>
      <c r="K65" s="224"/>
      <c r="L65" s="224"/>
      <c r="M65" s="224"/>
      <c r="N65" s="224"/>
      <c r="O65" s="224"/>
      <c r="P65" s="185"/>
      <c r="Q65" s="225" t="s">
        <v>15838</v>
      </c>
      <c r="R65" s="182" t="str">
        <f ca="1">IF(ISERROR($V65),"",OFFSET('Smelter Look-up'!$C$4,$V65-4,0)&amp;"")</f>
        <v>Metalor Technologies (Singapore) Pte., Ltd.</v>
      </c>
      <c r="S65" s="181" t="str">
        <f t="shared" ca="1" si="5"/>
        <v>SG</v>
      </c>
      <c r="T65" s="181" t="str">
        <f ca="1">IF(B65="","",IF(ISERROR(MATCH($J65,SorP!$B$1:$B$6226,0)),"",INDIRECT("'SorP'!$A$"&amp;MATCH($S65&amp;$J65,SorP!C:C,0))))</f>
        <v>SG-05</v>
      </c>
      <c r="U65" s="201"/>
      <c r="V65" s="226">
        <f>IF(C65="",NA(),IF(OR(C65="Smelter not listed",C65="Smelter not yet identified"),MATCH($B65&amp;$D65,'Smelter Look-up'!$J:$J,0),MATCH($B65&amp;$C65,'Smelter Look-up'!$J:$J,0)))</f>
        <v>179</v>
      </c>
      <c r="X65" s="227">
        <f t="shared" si="6"/>
        <v>0</v>
      </c>
      <c r="AB65" s="228" t="str">
        <f t="shared" si="7"/>
        <v>GoldMetalor Technologies (Singapore) Pte., Ltd.</v>
      </c>
    </row>
    <row r="66" spans="1:28" s="227" customFormat="1" ht="76.5">
      <c r="A66" s="181" t="s">
        <v>1586</v>
      </c>
      <c r="B66" s="182" t="s">
        <v>1098</v>
      </c>
      <c r="C66" s="186" t="s">
        <v>1585</v>
      </c>
      <c r="D66" s="230"/>
      <c r="E66" s="182" t="s">
        <v>1069</v>
      </c>
      <c r="F66" s="182" t="s">
        <v>1586</v>
      </c>
      <c r="G66" s="182" t="s">
        <v>13177</v>
      </c>
      <c r="H66" s="183">
        <v>0</v>
      </c>
      <c r="I66" s="184" t="s">
        <v>2464</v>
      </c>
      <c r="J66" s="184" t="s">
        <v>13544</v>
      </c>
      <c r="K66" s="224"/>
      <c r="L66" s="224"/>
      <c r="M66" s="224"/>
      <c r="N66" s="224"/>
      <c r="O66" s="224"/>
      <c r="P66" s="185"/>
      <c r="Q66" s="225" t="s">
        <v>15838</v>
      </c>
      <c r="R66" s="182" t="str">
        <f ca="1">IF(ISERROR($V66),"",OFFSET('Smelter Look-up'!$C$4,$V66-4,0)&amp;"")</f>
        <v>Metalor Technologies (Suzhou) Ltd.</v>
      </c>
      <c r="S66" s="181" t="str">
        <f t="shared" ca="1" si="5"/>
        <v>CN</v>
      </c>
      <c r="T66" s="181" t="str">
        <f ca="1">IF(B66="","",IF(ISERROR(MATCH($J66,SorP!$B$1:$B$6226,0)),"",INDIRECT("'SorP'!$A$"&amp;MATCH($S66&amp;$J66,SorP!C:C,0))))</f>
        <v>CN-JS</v>
      </c>
      <c r="U66" s="201"/>
      <c r="V66" s="226">
        <f>IF(C66="",NA(),IF(OR(C66="Smelter not listed",C66="Smelter not yet identified"),MATCH($B66&amp;$D66,'Smelter Look-up'!$J:$J,0),MATCH($B66&amp;$C66,'Smelter Look-up'!$J:$J,0)))</f>
        <v>180</v>
      </c>
      <c r="X66" s="227">
        <f t="shared" si="6"/>
        <v>0</v>
      </c>
      <c r="AB66" s="228" t="str">
        <f t="shared" si="7"/>
        <v>GoldMetalor Technologies (Suzhou) Ltd.</v>
      </c>
    </row>
    <row r="67" spans="1:28" s="227" customFormat="1" ht="63.75">
      <c r="A67" s="181" t="s">
        <v>688</v>
      </c>
      <c r="B67" s="182" t="s">
        <v>1098</v>
      </c>
      <c r="C67" s="186" t="s">
        <v>2257</v>
      </c>
      <c r="D67" s="230"/>
      <c r="E67" s="182" t="s">
        <v>1067</v>
      </c>
      <c r="F67" s="182" t="s">
        <v>688</v>
      </c>
      <c r="G67" s="182" t="s">
        <v>13177</v>
      </c>
      <c r="H67" s="183">
        <v>0</v>
      </c>
      <c r="I67" s="184" t="s">
        <v>1588</v>
      </c>
      <c r="J67" s="184" t="s">
        <v>1589</v>
      </c>
      <c r="K67" s="224"/>
      <c r="L67" s="224"/>
      <c r="M67" s="224"/>
      <c r="N67" s="224"/>
      <c r="O67" s="224"/>
      <c r="P67" s="185"/>
      <c r="Q67" s="225" t="s">
        <v>15838</v>
      </c>
      <c r="R67" s="182" t="str">
        <f ca="1">IF(ISERROR($V67),"",OFFSET('Smelter Look-up'!$C$4,$V67-4,0)&amp;"")</f>
        <v>Metalor Technologies S.A.</v>
      </c>
      <c r="S67" s="181" t="str">
        <f t="shared" ca="1" si="5"/>
        <v>CH</v>
      </c>
      <c r="T67" s="181" t="str">
        <f ca="1">IF(B67="","",IF(ISERROR(MATCH($J67,SorP!$B$1:$B$6226,0)),"",INDIRECT("'SorP'!$A$"&amp;MATCH($S67&amp;$J67,SorP!C:C,0))))</f>
        <v>CH-NE</v>
      </c>
      <c r="U67" s="201"/>
      <c r="V67" s="226">
        <f>IF(C67="",NA(),IF(OR(C67="Smelter not listed",C67="Smelter not yet identified"),MATCH($B67&amp;$D67,'Smelter Look-up'!$J:$J,0),MATCH($B67&amp;$C67,'Smelter Look-up'!$J:$J,0)))</f>
        <v>181</v>
      </c>
      <c r="X67" s="227">
        <f t="shared" si="6"/>
        <v>0</v>
      </c>
      <c r="AB67" s="228" t="str">
        <f t="shared" si="7"/>
        <v>GoldMetalor Technologies S.A.</v>
      </c>
    </row>
    <row r="68" spans="1:28" s="227" customFormat="1" ht="63.75">
      <c r="A68" s="181" t="s">
        <v>689</v>
      </c>
      <c r="B68" s="182" t="s">
        <v>1098</v>
      </c>
      <c r="C68" s="186" t="s">
        <v>1195</v>
      </c>
      <c r="D68" s="230"/>
      <c r="E68" s="182" t="s">
        <v>2384</v>
      </c>
      <c r="F68" s="182" t="s">
        <v>689</v>
      </c>
      <c r="G68" s="182" t="s">
        <v>13177</v>
      </c>
      <c r="H68" s="183">
        <v>0</v>
      </c>
      <c r="I68" s="184" t="s">
        <v>1590</v>
      </c>
      <c r="J68" s="184" t="s">
        <v>1591</v>
      </c>
      <c r="K68" s="224"/>
      <c r="L68" s="224"/>
      <c r="M68" s="224"/>
      <c r="N68" s="224"/>
      <c r="O68" s="224"/>
      <c r="P68" s="185"/>
      <c r="Q68" s="225" t="s">
        <v>15883</v>
      </c>
      <c r="R68" s="182" t="str">
        <f ca="1">IF(ISERROR($V68),"",OFFSET('Smelter Look-up'!$C$4,$V68-4,0)&amp;"")</f>
        <v>Metalor USA Refining Corporation</v>
      </c>
      <c r="S68" s="181" t="str">
        <f t="shared" ca="1" si="5"/>
        <v>US</v>
      </c>
      <c r="T68" s="181" t="str">
        <f ca="1">IF(B68="","",IF(ISERROR(MATCH($J68,SorP!$B$1:$B$6226,0)),"",INDIRECT("'SorP'!$A$"&amp;MATCH($S68&amp;$J68,SorP!C:C,0))))</f>
        <v>US-MA</v>
      </c>
      <c r="U68" s="201"/>
      <c r="V68" s="226">
        <f>IF(C68="",NA(),IF(OR(C68="Smelter not listed",C68="Smelter not yet identified"),MATCH($B68&amp;$D68,'Smelter Look-up'!$J:$J,0),MATCH($B68&amp;$C68,'Smelter Look-up'!$J:$J,0)))</f>
        <v>182</v>
      </c>
      <c r="X68" s="227">
        <f t="shared" si="6"/>
        <v>0</v>
      </c>
      <c r="AB68" s="228" t="str">
        <f t="shared" si="7"/>
        <v>GoldMetalor USA Refining Corporation</v>
      </c>
    </row>
    <row r="69" spans="1:28" s="227" customFormat="1" ht="63.75">
      <c r="A69" s="181" t="s">
        <v>713</v>
      </c>
      <c r="B69" s="182" t="s">
        <v>1098</v>
      </c>
      <c r="C69" s="186" t="s">
        <v>1199</v>
      </c>
      <c r="D69" s="230"/>
      <c r="E69" s="182" t="s">
        <v>1077</v>
      </c>
      <c r="F69" s="182" t="s">
        <v>713</v>
      </c>
      <c r="G69" s="182" t="s">
        <v>13177</v>
      </c>
      <c r="H69" s="183">
        <v>0</v>
      </c>
      <c r="I69" s="184" t="s">
        <v>1629</v>
      </c>
      <c r="J69" s="184" t="s">
        <v>1630</v>
      </c>
      <c r="K69" s="224"/>
      <c r="L69" s="224"/>
      <c r="M69" s="224"/>
      <c r="N69" s="224"/>
      <c r="O69" s="224"/>
      <c r="P69" s="185"/>
      <c r="Q69" s="225" t="s">
        <v>15838</v>
      </c>
      <c r="R69" s="182" t="str">
        <f ca="1">IF(ISERROR($V69),"",OFFSET('Smelter Look-up'!$C$4,$V69-4,0)&amp;"")</f>
        <v>Tanaka Kikinzoku Kogyo K.K.</v>
      </c>
      <c r="S69" s="181" t="str">
        <f t="shared" ref="S69" ca="1" si="8">IF(B69="","",IF(ISERROR(MATCH($E69,CL,0)),"Unknown",INDIRECT("'C'!$A$"&amp;MATCH($E69,CL,0)+1)))</f>
        <v>JP</v>
      </c>
      <c r="T69" s="181" t="str">
        <f ca="1">IF(B69="","",IF(ISERROR(MATCH($J69,SorP!$B$1:$B$6226,0)),"",INDIRECT("'SorP'!$A$"&amp;MATCH($S69&amp;$J69,SorP!C:C,0))))</f>
        <v>JP-14</v>
      </c>
      <c r="U69" s="201"/>
      <c r="V69" s="226">
        <f>IF(C69="",NA(),IF(OR(C69="Smelter not listed",C69="Smelter not yet identified"),MATCH($B69&amp;$D69,'Smelter Look-up'!$J:$J,0),MATCH($B69&amp;$C69,'Smelter Look-up'!$J:$J,0)))</f>
        <v>287</v>
      </c>
      <c r="X69" s="227">
        <f t="shared" ref="X69" si="9">IF(AND(C69="Smelter not listed",OR(LEN(D69)=0,LEN(E69)=0)),1,0)</f>
        <v>0</v>
      </c>
      <c r="AB69" s="228" t="str">
        <f t="shared" ref="AB69" si="10">B69&amp;C69</f>
        <v>GoldTanaka Kikinzoku Kogyo K.K.</v>
      </c>
    </row>
    <row r="70" spans="1:28" s="227" customFormat="1" ht="76.5">
      <c r="A70" s="181" t="s">
        <v>633</v>
      </c>
      <c r="B70" s="182" t="s">
        <v>1098</v>
      </c>
      <c r="C70" s="186" t="s">
        <v>2095</v>
      </c>
      <c r="D70" s="230"/>
      <c r="E70" s="182" t="s">
        <v>1077</v>
      </c>
      <c r="F70" s="182" t="s">
        <v>633</v>
      </c>
      <c r="G70" s="182" t="s">
        <v>13177</v>
      </c>
      <c r="H70" s="183">
        <v>0</v>
      </c>
      <c r="I70" s="184" t="s">
        <v>1508</v>
      </c>
      <c r="J70" s="184" t="s">
        <v>1509</v>
      </c>
      <c r="K70" s="224"/>
      <c r="L70" s="224"/>
      <c r="M70" s="224"/>
      <c r="N70" s="224"/>
      <c r="O70" s="224"/>
      <c r="P70" s="185"/>
      <c r="Q70" s="225" t="s">
        <v>15838</v>
      </c>
      <c r="R70" s="182" t="str">
        <f ca="1">IF(ISERROR($V70),"",OFFSET('Smelter Look-up'!$C$4,$V70-4,0)&amp;"")</f>
        <v>Aida Chemical Industries Co., Ltd.</v>
      </c>
      <c r="S70" s="181" t="str">
        <f t="shared" ref="S70:S101" ca="1" si="11">IF(B70="","",IF(ISERROR(MATCH($E70,CL,0)),"Unknown",INDIRECT("'C'!$A$"&amp;MATCH($E70,CL,0)+1)))</f>
        <v>JP</v>
      </c>
      <c r="T70" s="181" t="str">
        <f ca="1">IF(B70="","",IF(ISERROR(MATCH($J70,SorP!$B$1:$B$6226,0)),"",INDIRECT("'SorP'!$A$"&amp;MATCH($S70&amp;$J70,SorP!C:C,0))))</f>
        <v>JP-13</v>
      </c>
      <c r="U70" s="201"/>
      <c r="V70" s="226">
        <f>IF(C70="",NA(),IF(OR(C70="Smelter not listed",C70="Smelter not yet identified"),MATCH($B70&amp;$D70,'Smelter Look-up'!$J:$J,0),MATCH($B70&amp;$C70,'Smelter Look-up'!$J:$J,0)))</f>
        <v>13</v>
      </c>
      <c r="X70" s="227">
        <f t="shared" ref="X70:X101" si="12">IF(AND(C70="Smelter not listed",OR(LEN(D70)=0,LEN(E70)=0)),1,0)</f>
        <v>0</v>
      </c>
      <c r="AB70" s="228" t="str">
        <f t="shared" ref="AB70:AB101" si="13">B70&amp;C70</f>
        <v>GoldAida Chemical Industries Co., Ltd.</v>
      </c>
    </row>
    <row r="71" spans="1:28" s="227" customFormat="1" ht="51">
      <c r="A71" s="181" t="s">
        <v>638</v>
      </c>
      <c r="B71" s="182" t="s">
        <v>1098</v>
      </c>
      <c r="C71" s="186" t="s">
        <v>2237</v>
      </c>
      <c r="D71" s="230"/>
      <c r="E71" s="182" t="s">
        <v>1077</v>
      </c>
      <c r="F71" s="182" t="s">
        <v>638</v>
      </c>
      <c r="G71" s="182" t="s">
        <v>13177</v>
      </c>
      <c r="H71" s="183">
        <v>0</v>
      </c>
      <c r="I71" s="184" t="s">
        <v>15884</v>
      </c>
      <c r="J71" s="184" t="s">
        <v>1518</v>
      </c>
      <c r="K71" s="224"/>
      <c r="L71" s="224"/>
      <c r="M71" s="224"/>
      <c r="N71" s="224"/>
      <c r="O71" s="224"/>
      <c r="P71" s="185"/>
      <c r="Q71" s="225" t="s">
        <v>15838</v>
      </c>
      <c r="R71" s="182" t="str">
        <f ca="1">IF(ISERROR($V71),"",OFFSET('Smelter Look-up'!$C$4,$V71-4,0)&amp;"")</f>
        <v>ASAHI METALFINE, Inc.</v>
      </c>
      <c r="S71" s="181" t="str">
        <f t="shared" ca="1" si="11"/>
        <v>JP</v>
      </c>
      <c r="T71" s="181" t="str">
        <f ca="1">IF(B71="","",IF(ISERROR(MATCH($J71,SorP!$B$1:$B$6226,0)),"",INDIRECT("'SorP'!$A$"&amp;MATCH($S71&amp;$J71,SorP!C:C,0))))</f>
        <v>JP-28</v>
      </c>
      <c r="U71" s="201"/>
      <c r="V71" s="226">
        <f>IF(C71="",NA(),IF(OR(C71="Smelter not listed",C71="Smelter not yet identified"),MATCH($B71&amp;$D71,'Smelter Look-up'!$J:$J,0),MATCH($B71&amp;$C71,'Smelter Look-up'!$J:$J,0)))</f>
        <v>30</v>
      </c>
      <c r="X71" s="227">
        <f t="shared" si="12"/>
        <v>0</v>
      </c>
      <c r="AB71" s="228" t="str">
        <f t="shared" si="13"/>
        <v>GoldAsahi Pretec Corp.</v>
      </c>
    </row>
    <row r="72" spans="1:28" s="227" customFormat="1" ht="25.5">
      <c r="A72" s="181" t="s">
        <v>654</v>
      </c>
      <c r="B72" s="182" t="s">
        <v>1098</v>
      </c>
      <c r="C72" s="186" t="s">
        <v>877</v>
      </c>
      <c r="D72" s="230"/>
      <c r="E72" s="182" t="s">
        <v>1077</v>
      </c>
      <c r="F72" s="182" t="s">
        <v>654</v>
      </c>
      <c r="G72" s="182" t="s">
        <v>13177</v>
      </c>
      <c r="H72" s="183">
        <v>0</v>
      </c>
      <c r="I72" s="184" t="s">
        <v>1541</v>
      </c>
      <c r="J72" s="184" t="s">
        <v>1542</v>
      </c>
      <c r="K72" s="224"/>
      <c r="L72" s="224"/>
      <c r="M72" s="224"/>
      <c r="N72" s="224"/>
      <c r="O72" s="224"/>
      <c r="P72" s="185"/>
      <c r="Q72" s="225" t="s">
        <v>15838</v>
      </c>
      <c r="R72" s="182" t="str">
        <f ca="1">IF(ISERROR($V72),"",OFFSET('Smelter Look-up'!$C$4,$V72-4,0)&amp;"")</f>
        <v>Dowa</v>
      </c>
      <c r="S72" s="181" t="str">
        <f t="shared" ca="1" si="11"/>
        <v>JP</v>
      </c>
      <c r="T72" s="181" t="str">
        <f ca="1">IF(B72="","",IF(ISERROR(MATCH($J72,SorP!$B$1:$B$6226,0)),"",INDIRECT("'SorP'!$A$"&amp;MATCH($S72&amp;$J72,SorP!C:C,0))))</f>
        <v>JP-05</v>
      </c>
      <c r="U72" s="201"/>
      <c r="V72" s="226">
        <f>IF(C72="",NA(),IF(OR(C72="Smelter not listed",C72="Smelter not yet identified"),MATCH($B72&amp;$D72,'Smelter Look-up'!$J:$J,0),MATCH($B72&amp;$C72,'Smelter Look-up'!$J:$J,0)))</f>
        <v>68</v>
      </c>
      <c r="X72" s="227">
        <f t="shared" si="12"/>
        <v>0</v>
      </c>
      <c r="AB72" s="228" t="str">
        <f t="shared" si="13"/>
        <v>GoldDowa</v>
      </c>
    </row>
    <row r="73" spans="1:28" s="227" customFormat="1" ht="76.5">
      <c r="A73" s="181" t="s">
        <v>665</v>
      </c>
      <c r="B73" s="182" t="s">
        <v>1098</v>
      </c>
      <c r="C73" s="186" t="s">
        <v>1194</v>
      </c>
      <c r="D73" s="230"/>
      <c r="E73" s="182" t="s">
        <v>1077</v>
      </c>
      <c r="F73" s="182" t="s">
        <v>665</v>
      </c>
      <c r="G73" s="182" t="s">
        <v>13177</v>
      </c>
      <c r="H73" s="183">
        <v>0</v>
      </c>
      <c r="I73" s="184" t="s">
        <v>1560</v>
      </c>
      <c r="J73" s="184" t="s">
        <v>1547</v>
      </c>
      <c r="K73" s="224"/>
      <c r="L73" s="224"/>
      <c r="M73" s="224"/>
      <c r="N73" s="224"/>
      <c r="O73" s="224"/>
      <c r="P73" s="185"/>
      <c r="Q73" s="225" t="s">
        <v>15838</v>
      </c>
      <c r="R73" s="182" t="str">
        <f ca="1">IF(ISERROR($V73),"",OFFSET('Smelter Look-up'!$C$4,$V73-4,0)&amp;"")</f>
        <v>Ishifuku Metal Industry Co., Ltd.</v>
      </c>
      <c r="S73" s="181" t="str">
        <f t="shared" ca="1" si="11"/>
        <v>JP</v>
      </c>
      <c r="T73" s="181" t="str">
        <f ca="1">IF(B73="","",IF(ISERROR(MATCH($J73,SorP!$B$1:$B$6226,0)),"",INDIRECT("'SorP'!$A$"&amp;MATCH($S73&amp;$J73,SorP!C:C,0))))</f>
        <v>JP-11</v>
      </c>
      <c r="U73" s="201"/>
      <c r="V73" s="226">
        <f>IF(C73="",NA(),IF(OR(C73="Smelter not listed",C73="Smelter not yet identified"),MATCH($B73&amp;$D73,'Smelter Look-up'!$J:$J,0),MATCH($B73&amp;$C73,'Smelter Look-up'!$J:$J,0)))</f>
        <v>123</v>
      </c>
      <c r="X73" s="227">
        <f t="shared" si="12"/>
        <v>0</v>
      </c>
      <c r="AB73" s="228" t="str">
        <f t="shared" si="13"/>
        <v>GoldIshifuku Metal Industry Co., Ltd.</v>
      </c>
    </row>
    <row r="74" spans="1:28" s="227" customFormat="1" ht="76.5">
      <c r="A74" s="181" t="s">
        <v>673</v>
      </c>
      <c r="B74" s="182" t="s">
        <v>1098</v>
      </c>
      <c r="C74" s="186" t="s">
        <v>52</v>
      </c>
      <c r="D74" s="230"/>
      <c r="E74" s="182" t="s">
        <v>1077</v>
      </c>
      <c r="F74" s="182" t="s">
        <v>673</v>
      </c>
      <c r="G74" s="182" t="s">
        <v>13177</v>
      </c>
      <c r="H74" s="183">
        <v>0</v>
      </c>
      <c r="I74" s="184" t="s">
        <v>2314</v>
      </c>
      <c r="J74" s="184" t="s">
        <v>6611</v>
      </c>
      <c r="K74" s="224"/>
      <c r="L74" s="224"/>
      <c r="M74" s="224"/>
      <c r="N74" s="224"/>
      <c r="O74" s="224"/>
      <c r="P74" s="185"/>
      <c r="Q74" s="225" t="s">
        <v>15838</v>
      </c>
      <c r="R74" s="182" t="str">
        <f ca="1">IF(ISERROR($V74),"",OFFSET('Smelter Look-up'!$C$4,$V74-4,0)&amp;"")</f>
        <v>JX Nippon Mining &amp; Metals Co., Ltd.</v>
      </c>
      <c r="S74" s="181" t="str">
        <f t="shared" ca="1" si="11"/>
        <v>JP</v>
      </c>
      <c r="T74" s="181" t="str">
        <f ca="1">IF(B74="","",IF(ISERROR(MATCH($J74,SorP!$B$1:$B$6226,0)),"",INDIRECT("'SorP'!$A$"&amp;MATCH($S74&amp;$J74,SorP!C:C,0))))</f>
        <v>JP-44</v>
      </c>
      <c r="U74" s="201"/>
      <c r="V74" s="226">
        <f>IF(C74="",NA(),IF(OR(C74="Smelter not listed",C74="Smelter not yet identified"),MATCH($B74&amp;$D74,'Smelter Look-up'!$J:$J,0),MATCH($B74&amp;$C74,'Smelter Look-up'!$J:$J,0)))</f>
        <v>137</v>
      </c>
      <c r="X74" s="227">
        <f t="shared" si="12"/>
        <v>0</v>
      </c>
      <c r="AB74" s="228" t="str">
        <f t="shared" si="13"/>
        <v>GoldJX Nippon Mining &amp; Metals Co., Ltd.</v>
      </c>
    </row>
    <row r="75" spans="1:28" s="227" customFormat="1" ht="63.75">
      <c r="A75" s="181" t="s">
        <v>677</v>
      </c>
      <c r="B75" s="182" t="s">
        <v>1098</v>
      </c>
      <c r="C75" s="186" t="s">
        <v>2102</v>
      </c>
      <c r="D75" s="230"/>
      <c r="E75" s="182" t="s">
        <v>1077</v>
      </c>
      <c r="F75" s="182" t="s">
        <v>677</v>
      </c>
      <c r="G75" s="182" t="s">
        <v>13177</v>
      </c>
      <c r="H75" s="183">
        <v>0</v>
      </c>
      <c r="I75" s="184" t="s">
        <v>1574</v>
      </c>
      <c r="J75" s="184" t="s">
        <v>1547</v>
      </c>
      <c r="K75" s="224"/>
      <c r="L75" s="224"/>
      <c r="M75" s="224"/>
      <c r="N75" s="224"/>
      <c r="O75" s="224"/>
      <c r="P75" s="185"/>
      <c r="Q75" s="225" t="s">
        <v>15838</v>
      </c>
      <c r="R75" s="182" t="str">
        <f ca="1">IF(ISERROR($V75),"",OFFSET('Smelter Look-up'!$C$4,$V75-4,0)&amp;"")</f>
        <v>Kojima Chemicals Co., Ltd.</v>
      </c>
      <c r="S75" s="181" t="str">
        <f t="shared" ca="1" si="11"/>
        <v>JP</v>
      </c>
      <c r="T75" s="181" t="str">
        <f ca="1">IF(B75="","",IF(ISERROR(MATCH($J75,SorP!$B$1:$B$6226,0)),"",INDIRECT("'SorP'!$A$"&amp;MATCH($S75&amp;$J75,SorP!C:C,0))))</f>
        <v>JP-11</v>
      </c>
      <c r="U75" s="201"/>
      <c r="V75" s="226">
        <f>IF(C75="",NA(),IF(OR(C75="Smelter not listed",C75="Smelter not yet identified"),MATCH($B75&amp;$D75,'Smelter Look-up'!$J:$J,0),MATCH($B75&amp;$C75,'Smelter Look-up'!$J:$J,0)))</f>
        <v>147</v>
      </c>
      <c r="X75" s="227">
        <f t="shared" si="12"/>
        <v>0</v>
      </c>
      <c r="AB75" s="228" t="str">
        <f t="shared" si="13"/>
        <v>GoldKojima Chemicals Co., Ltd.</v>
      </c>
    </row>
    <row r="76" spans="1:28" s="227" customFormat="1" ht="63.75">
      <c r="A76" s="181" t="s">
        <v>685</v>
      </c>
      <c r="B76" s="182" t="s">
        <v>1098</v>
      </c>
      <c r="C76" s="186" t="s">
        <v>53</v>
      </c>
      <c r="D76" s="230"/>
      <c r="E76" s="182" t="s">
        <v>1077</v>
      </c>
      <c r="F76" s="182" t="s">
        <v>685</v>
      </c>
      <c r="G76" s="182" t="s">
        <v>13177</v>
      </c>
      <c r="H76" s="183">
        <v>0</v>
      </c>
      <c r="I76" s="184" t="s">
        <v>1584</v>
      </c>
      <c r="J76" s="184" t="s">
        <v>1547</v>
      </c>
      <c r="K76" s="224"/>
      <c r="L76" s="224"/>
      <c r="M76" s="224"/>
      <c r="N76" s="224"/>
      <c r="O76" s="224"/>
      <c r="P76" s="185"/>
      <c r="Q76" s="225" t="s">
        <v>15838</v>
      </c>
      <c r="R76" s="182" t="str">
        <f ca="1">IF(ISERROR($V76),"",OFFSET('Smelter Look-up'!$C$4,$V76-4,0)&amp;"")</f>
        <v>Matsuda Sangyo Co., Ltd.</v>
      </c>
      <c r="S76" s="181" t="str">
        <f t="shared" ca="1" si="11"/>
        <v>JP</v>
      </c>
      <c r="T76" s="181" t="str">
        <f ca="1">IF(B76="","",IF(ISERROR(MATCH($J76,SorP!$B$1:$B$6226,0)),"",INDIRECT("'SorP'!$A$"&amp;MATCH($S76&amp;$J76,SorP!C:C,0))))</f>
        <v>JP-11</v>
      </c>
      <c r="U76" s="201"/>
      <c r="V76" s="226">
        <f>IF(C76="",NA(),IF(OR(C76="Smelter not listed",C76="Smelter not yet identified"),MATCH($B76&amp;$D76,'Smelter Look-up'!$J:$J,0),MATCH($B76&amp;$C76,'Smelter Look-up'!$J:$J,0)))</f>
        <v>170</v>
      </c>
      <c r="X76" s="227">
        <f t="shared" si="12"/>
        <v>0</v>
      </c>
      <c r="AB76" s="228" t="str">
        <f t="shared" si="13"/>
        <v>GoldMatsuda Sangyo Co., Ltd.</v>
      </c>
    </row>
    <row r="77" spans="1:28" s="227" customFormat="1" ht="76.5">
      <c r="A77" s="181" t="s">
        <v>691</v>
      </c>
      <c r="B77" s="182" t="s">
        <v>1098</v>
      </c>
      <c r="C77" s="186" t="s">
        <v>1131</v>
      </c>
      <c r="D77" s="230"/>
      <c r="E77" s="182" t="s">
        <v>1077</v>
      </c>
      <c r="F77" s="182" t="s">
        <v>691</v>
      </c>
      <c r="G77" s="182" t="s">
        <v>13177</v>
      </c>
      <c r="H77" s="183">
        <v>0</v>
      </c>
      <c r="I77" s="184" t="s">
        <v>1509</v>
      </c>
      <c r="J77" s="184" t="s">
        <v>1509</v>
      </c>
      <c r="K77" s="224"/>
      <c r="L77" s="224"/>
      <c r="M77" s="224"/>
      <c r="N77" s="224"/>
      <c r="O77" s="224"/>
      <c r="P77" s="185"/>
      <c r="Q77" s="225" t="s">
        <v>15838</v>
      </c>
      <c r="R77" s="182" t="str">
        <f ca="1">IF(ISERROR($V77),"",OFFSET('Smelter Look-up'!$C$4,$V77-4,0)&amp;"")</f>
        <v>Mitsubishi Materials Corporation</v>
      </c>
      <c r="S77" s="181" t="str">
        <f t="shared" ca="1" si="11"/>
        <v>JP</v>
      </c>
      <c r="T77" s="181" t="str">
        <f ca="1">IF(B77="","",IF(ISERROR(MATCH($J77,SorP!$B$1:$B$6226,0)),"",INDIRECT("'SorP'!$A$"&amp;MATCH($S77&amp;$J77,SorP!C:C,0))))</f>
        <v>JP-13</v>
      </c>
      <c r="U77" s="201"/>
      <c r="V77" s="226">
        <f>IF(C77="",NA(),IF(OR(C77="Smelter not listed",C77="Smelter not yet identified"),MATCH($B77&amp;$D77,'Smelter Look-up'!$J:$J,0),MATCH($B77&amp;$C77,'Smelter Look-up'!$J:$J,0)))</f>
        <v>189</v>
      </c>
      <c r="X77" s="227">
        <f t="shared" si="12"/>
        <v>0</v>
      </c>
      <c r="AB77" s="228" t="str">
        <f t="shared" si="13"/>
        <v>GoldMitsubishi Materials Corporation</v>
      </c>
    </row>
    <row r="78" spans="1:28" s="227" customFormat="1" ht="89.25">
      <c r="A78" s="181" t="s">
        <v>692</v>
      </c>
      <c r="B78" s="182" t="s">
        <v>1098</v>
      </c>
      <c r="C78" s="186" t="s">
        <v>1196</v>
      </c>
      <c r="D78" s="230"/>
      <c r="E78" s="182" t="s">
        <v>1077</v>
      </c>
      <c r="F78" s="182" t="s">
        <v>692</v>
      </c>
      <c r="G78" s="182" t="s">
        <v>13177</v>
      </c>
      <c r="H78" s="183">
        <v>0</v>
      </c>
      <c r="I78" s="184" t="s">
        <v>1594</v>
      </c>
      <c r="J78" s="184" t="s">
        <v>1593</v>
      </c>
      <c r="K78" s="224"/>
      <c r="L78" s="224"/>
      <c r="M78" s="224"/>
      <c r="N78" s="224"/>
      <c r="O78" s="224"/>
      <c r="P78" s="185"/>
      <c r="Q78" s="225" t="s">
        <v>15885</v>
      </c>
      <c r="R78" s="182" t="str">
        <f ca="1">IF(ISERROR($V78),"",OFFSET('Smelter Look-up'!$C$4,$V78-4,0)&amp;"")</f>
        <v>Mitsui Mining and Smelting Co., Ltd.</v>
      </c>
      <c r="S78" s="181" t="str">
        <f t="shared" ca="1" si="11"/>
        <v>JP</v>
      </c>
      <c r="T78" s="181" t="str">
        <f ca="1">IF(B78="","",IF(ISERROR(MATCH($J78,SorP!$B$1:$B$6226,0)),"",INDIRECT("'SorP'!$A$"&amp;MATCH($S78&amp;$J78,SorP!C:C,0))))</f>
        <v>JP-34</v>
      </c>
      <c r="U78" s="201"/>
      <c r="V78" s="226">
        <f>IF(C78="",NA(),IF(OR(C78="Smelter not listed",C78="Smelter not yet identified"),MATCH($B78&amp;$D78,'Smelter Look-up'!$J:$J,0),MATCH($B78&amp;$C78,'Smelter Look-up'!$J:$J,0)))</f>
        <v>191</v>
      </c>
      <c r="X78" s="227">
        <f t="shared" si="12"/>
        <v>0</v>
      </c>
      <c r="AB78" s="228" t="str">
        <f t="shared" si="13"/>
        <v>GoldMitsui Mining and Smelting Co., Ltd.</v>
      </c>
    </row>
    <row r="79" spans="1:28" s="227" customFormat="1" ht="63.75">
      <c r="A79" s="181" t="s">
        <v>696</v>
      </c>
      <c r="B79" s="182" t="s">
        <v>1098</v>
      </c>
      <c r="C79" s="186" t="s">
        <v>2109</v>
      </c>
      <c r="D79" s="230"/>
      <c r="E79" s="182" t="s">
        <v>1077</v>
      </c>
      <c r="F79" s="182" t="s">
        <v>696</v>
      </c>
      <c r="G79" s="182" t="s">
        <v>13177</v>
      </c>
      <c r="H79" s="183">
        <v>0</v>
      </c>
      <c r="I79" s="184" t="s">
        <v>1599</v>
      </c>
      <c r="J79" s="184" t="s">
        <v>1600</v>
      </c>
      <c r="K79" s="224"/>
      <c r="L79" s="224"/>
      <c r="M79" s="224"/>
      <c r="N79" s="224"/>
      <c r="O79" s="224"/>
      <c r="P79" s="185"/>
      <c r="Q79" s="225" t="s">
        <v>15838</v>
      </c>
      <c r="R79" s="182" t="str">
        <f ca="1">IF(ISERROR($V79),"",OFFSET('Smelter Look-up'!$C$4,$V79-4,0)&amp;"")</f>
        <v>Nihon Material Co., Ltd.</v>
      </c>
      <c r="S79" s="181" t="str">
        <f t="shared" ca="1" si="11"/>
        <v>JP</v>
      </c>
      <c r="T79" s="181" t="str">
        <f ca="1">IF(B79="","",IF(ISERROR(MATCH($J79,SorP!$B$1:$B$6226,0)),"",INDIRECT("'SorP'!$A$"&amp;MATCH($S79&amp;$J79,SorP!C:C,0))))</f>
        <v>JP-12</v>
      </c>
      <c r="U79" s="201"/>
      <c r="V79" s="226">
        <f>IF(C79="",NA(),IF(OR(C79="Smelter not listed",C79="Smelter not yet identified"),MATCH($B79&amp;$D79,'Smelter Look-up'!$J:$J,0),MATCH($B79&amp;$C79,'Smelter Look-up'!$J:$J,0)))</f>
        <v>201</v>
      </c>
      <c r="X79" s="227">
        <f t="shared" si="12"/>
        <v>0</v>
      </c>
      <c r="AB79" s="228" t="str">
        <f t="shared" si="13"/>
        <v>GoldNihon Material Co., Ltd.</v>
      </c>
    </row>
    <row r="80" spans="1:28" s="227" customFormat="1" ht="89.25">
      <c r="A80" s="181" t="s">
        <v>697</v>
      </c>
      <c r="B80" s="182" t="s">
        <v>1098</v>
      </c>
      <c r="C80" s="186" t="s">
        <v>2110</v>
      </c>
      <c r="D80" s="230"/>
      <c r="E80" s="182" t="s">
        <v>1077</v>
      </c>
      <c r="F80" s="182" t="s">
        <v>697</v>
      </c>
      <c r="G80" s="182" t="s">
        <v>13177</v>
      </c>
      <c r="H80" s="183">
        <v>0</v>
      </c>
      <c r="I80" s="184" t="s">
        <v>1602</v>
      </c>
      <c r="J80" s="184" t="s">
        <v>1603</v>
      </c>
      <c r="K80" s="224"/>
      <c r="L80" s="224"/>
      <c r="M80" s="224"/>
      <c r="N80" s="224"/>
      <c r="O80" s="224"/>
      <c r="P80" s="185"/>
      <c r="Q80" s="225" t="s">
        <v>15838</v>
      </c>
      <c r="R80" s="182" t="str">
        <f ca="1">IF(ISERROR($V80),"",OFFSET('Smelter Look-up'!$C$4,$V80-4,0)&amp;"")</f>
        <v>Ohura Precious Metal Industry Co., Ltd.</v>
      </c>
      <c r="S80" s="181" t="str">
        <f t="shared" ca="1" si="11"/>
        <v>JP</v>
      </c>
      <c r="T80" s="181" t="str">
        <f ca="1">IF(B80="","",IF(ISERROR(MATCH($J80,SorP!$B$1:$B$6226,0)),"",INDIRECT("'SorP'!$A$"&amp;MATCH($S80&amp;$J80,SorP!C:C,0))))</f>
        <v>JP-29</v>
      </c>
      <c r="U80" s="201"/>
      <c r="V80" s="226">
        <f>IF(C80="",NA(),IF(OR(C80="Smelter not listed",C80="Smelter not yet identified"),MATCH($B80&amp;$D80,'Smelter Look-up'!$J:$J,0),MATCH($B80&amp;$C80,'Smelter Look-up'!$J:$J,0)))</f>
        <v>207</v>
      </c>
      <c r="X80" s="227">
        <f t="shared" si="12"/>
        <v>0</v>
      </c>
      <c r="AB80" s="228" t="str">
        <f t="shared" si="13"/>
        <v>GoldOhura Precious Metal Industry Co., Ltd.</v>
      </c>
    </row>
    <row r="81" spans="1:28" s="227" customFormat="1" ht="76.5">
      <c r="A81" s="181" t="s">
        <v>712</v>
      </c>
      <c r="B81" s="182" t="s">
        <v>1098</v>
      </c>
      <c r="C81" s="186" t="s">
        <v>54</v>
      </c>
      <c r="D81" s="230"/>
      <c r="E81" s="182" t="s">
        <v>1077</v>
      </c>
      <c r="F81" s="182" t="s">
        <v>712</v>
      </c>
      <c r="G81" s="182" t="s">
        <v>13177</v>
      </c>
      <c r="H81" s="183">
        <v>0</v>
      </c>
      <c r="I81" s="184" t="s">
        <v>1628</v>
      </c>
      <c r="J81" s="184" t="s">
        <v>2165</v>
      </c>
      <c r="K81" s="224"/>
      <c r="L81" s="224"/>
      <c r="M81" s="224"/>
      <c r="N81" s="224"/>
      <c r="O81" s="224"/>
      <c r="P81" s="185"/>
      <c r="Q81" s="225" t="s">
        <v>15838</v>
      </c>
      <c r="R81" s="182" t="str">
        <f ca="1">IF(ISERROR($V81),"",OFFSET('Smelter Look-up'!$C$4,$V81-4,0)&amp;"")</f>
        <v>Sumitomo Metal Mining Co., Ltd.</v>
      </c>
      <c r="S81" s="181" t="str">
        <f t="shared" ca="1" si="11"/>
        <v>JP</v>
      </c>
      <c r="T81" s="181" t="str">
        <f ca="1">IF(B81="","",IF(ISERROR(MATCH($J81,SorP!$B$1:$B$6226,0)),"",INDIRECT("'SorP'!$A$"&amp;MATCH($S81&amp;$J81,SorP!C:C,0))))</f>
        <v>JP-38</v>
      </c>
      <c r="U81" s="201"/>
      <c r="V81" s="226">
        <f>IF(C81="",NA(),IF(OR(C81="Smelter not listed",C81="Smelter not yet identified"),MATCH($B81&amp;$D81,'Smelter Look-up'!$J:$J,0),MATCH($B81&amp;$C81,'Smelter Look-up'!$J:$J,0)))</f>
        <v>274</v>
      </c>
      <c r="X81" s="227">
        <f t="shared" si="12"/>
        <v>0</v>
      </c>
      <c r="AB81" s="228" t="str">
        <f t="shared" si="13"/>
        <v>GoldSumitomo Metal Mining Co., Ltd.</v>
      </c>
    </row>
    <row r="82" spans="1:28" s="227" customFormat="1" ht="63.75">
      <c r="A82" s="181" t="s">
        <v>716</v>
      </c>
      <c r="B82" s="182" t="s">
        <v>1098</v>
      </c>
      <c r="C82" s="186" t="s">
        <v>2117</v>
      </c>
      <c r="D82" s="230"/>
      <c r="E82" s="182" t="s">
        <v>1077</v>
      </c>
      <c r="F82" s="182" t="s">
        <v>716</v>
      </c>
      <c r="G82" s="182" t="s">
        <v>13177</v>
      </c>
      <c r="H82" s="183">
        <v>0</v>
      </c>
      <c r="I82" s="184" t="s">
        <v>1635</v>
      </c>
      <c r="J82" s="184" t="s">
        <v>1547</v>
      </c>
      <c r="K82" s="224"/>
      <c r="L82" s="224"/>
      <c r="M82" s="224"/>
      <c r="N82" s="224"/>
      <c r="O82" s="224"/>
      <c r="P82" s="185"/>
      <c r="Q82" s="225" t="s">
        <v>15838</v>
      </c>
      <c r="R82" s="182" t="str">
        <f ca="1">IF(ISERROR($V82),"",OFFSET('Smelter Look-up'!$C$4,$V82-4,0)&amp;"")</f>
        <v>Tokuriki Honten Co., Ltd.</v>
      </c>
      <c r="S82" s="181" t="str">
        <f t="shared" ca="1" si="11"/>
        <v>JP</v>
      </c>
      <c r="T82" s="181" t="str">
        <f ca="1">IF(B82="","",IF(ISERROR(MATCH($J82,SorP!$B$1:$B$6226,0)),"",INDIRECT("'SorP'!$A$"&amp;MATCH($S82&amp;$J82,SorP!C:C,0))))</f>
        <v>JP-11</v>
      </c>
      <c r="U82" s="201"/>
      <c r="V82" s="226">
        <f>IF(C82="",NA(),IF(OR(C82="Smelter not listed",C82="Smelter not yet identified"),MATCH($B82&amp;$D82,'Smelter Look-up'!$J:$J,0),MATCH($B82&amp;$C82,'Smelter Look-up'!$J:$J,0)))</f>
        <v>293</v>
      </c>
      <c r="X82" s="227">
        <f t="shared" si="12"/>
        <v>0</v>
      </c>
      <c r="AB82" s="228" t="str">
        <f t="shared" si="13"/>
        <v>GoldTokuriki Honten Co., Ltd.</v>
      </c>
    </row>
    <row r="83" spans="1:28" s="227" customFormat="1" ht="63.75">
      <c r="A83" s="181" t="s">
        <v>2157</v>
      </c>
      <c r="B83" s="182" t="s">
        <v>1098</v>
      </c>
      <c r="C83" s="186" t="s">
        <v>2155</v>
      </c>
      <c r="D83" s="230"/>
      <c r="E83" s="182" t="s">
        <v>1070</v>
      </c>
      <c r="F83" s="182" t="s">
        <v>2157</v>
      </c>
      <c r="G83" s="182" t="s">
        <v>13177</v>
      </c>
      <c r="H83" s="183">
        <v>0</v>
      </c>
      <c r="I83" s="184" t="s">
        <v>1510</v>
      </c>
      <c r="J83" s="184" t="s">
        <v>1511</v>
      </c>
      <c r="K83" s="224"/>
      <c r="L83" s="224"/>
      <c r="M83" s="224"/>
      <c r="N83" s="224"/>
      <c r="O83" s="224"/>
      <c r="P83" s="185"/>
      <c r="Q83" s="225" t="s">
        <v>15838</v>
      </c>
      <c r="R83" s="182" t="str">
        <f ca="1">IF(ISERROR($V83),"",OFFSET('Smelter Look-up'!$C$4,$V83-4,0)&amp;"")</f>
        <v>WIELAND Edelmetalle GmbH</v>
      </c>
      <c r="S83" s="181" t="str">
        <f t="shared" ca="1" si="11"/>
        <v>DE</v>
      </c>
      <c r="T83" s="181" t="str">
        <f ca="1">IF(B83="","",IF(ISERROR(MATCH($J83,SorP!$B$1:$B$6226,0)),"",INDIRECT("'SorP'!$A$"&amp;MATCH($S83&amp;$J83,SorP!C:C,0))))</f>
        <v>DE-BW</v>
      </c>
      <c r="U83" s="201"/>
      <c r="V83" s="226">
        <f>IF(C83="",NA(),IF(OR(C83="Smelter not listed",C83="Smelter not yet identified"),MATCH($B83&amp;$D83,'Smelter Look-up'!$J:$J,0),MATCH($B83&amp;$C83,'Smelter Look-up'!$J:$J,0)))</f>
        <v>307</v>
      </c>
      <c r="X83" s="227">
        <f t="shared" si="12"/>
        <v>0</v>
      </c>
      <c r="AB83" s="228" t="str">
        <f t="shared" si="13"/>
        <v>GoldWIELAND Edelmetalle GmbH</v>
      </c>
    </row>
    <row r="84" spans="1:28" s="227" customFormat="1" ht="51">
      <c r="A84" s="181" t="s">
        <v>705</v>
      </c>
      <c r="B84" s="182" t="s">
        <v>1098</v>
      </c>
      <c r="C84" s="186" t="s">
        <v>884</v>
      </c>
      <c r="D84" s="230"/>
      <c r="E84" s="182" t="s">
        <v>1066</v>
      </c>
      <c r="F84" s="182" t="s">
        <v>705</v>
      </c>
      <c r="G84" s="182" t="s">
        <v>13177</v>
      </c>
      <c r="H84" s="183">
        <v>0</v>
      </c>
      <c r="I84" s="184" t="s">
        <v>1611</v>
      </c>
      <c r="J84" s="184" t="s">
        <v>1569</v>
      </c>
      <c r="K84" s="224"/>
      <c r="L84" s="224"/>
      <c r="M84" s="224"/>
      <c r="N84" s="224"/>
      <c r="O84" s="224"/>
      <c r="P84" s="185"/>
      <c r="Q84" s="225" t="s">
        <v>15886</v>
      </c>
      <c r="R84" s="182" t="str">
        <f ca="1">IF(ISERROR($V84),"",OFFSET('Smelter Look-up'!$C$4,$V84-4,0)&amp;"")</f>
        <v>Royal Canadian Mint</v>
      </c>
      <c r="S84" s="181" t="str">
        <f t="shared" ca="1" si="11"/>
        <v>CA</v>
      </c>
      <c r="T84" s="181" t="str">
        <f ca="1">IF(B84="","",IF(ISERROR(MATCH($J84,SorP!$B$1:$B$6226,0)),"",INDIRECT("'SorP'!$A$"&amp;MATCH($S84&amp;$J84,SorP!C:C,0))))</f>
        <v>CA-ON</v>
      </c>
      <c r="U84" s="201"/>
      <c r="V84" s="226">
        <f>IF(C84="",NA(),IF(OR(C84="Smelter not listed",C84="Smelter not yet identified"),MATCH($B84&amp;$D84,'Smelter Look-up'!$J:$J,0),MATCH($B84&amp;$C84,'Smelter Look-up'!$J:$J,0)))</f>
        <v>229</v>
      </c>
      <c r="X84" s="227">
        <f t="shared" si="12"/>
        <v>0</v>
      </c>
      <c r="AB84" s="228" t="str">
        <f t="shared" si="13"/>
        <v>GoldRoyal Canadian Mint</v>
      </c>
    </row>
    <row r="85" spans="1:28" s="227" customFormat="1" ht="76.5">
      <c r="A85" s="181" t="s">
        <v>715</v>
      </c>
      <c r="B85" s="182" t="s">
        <v>1098</v>
      </c>
      <c r="C85" s="186" t="s">
        <v>14918</v>
      </c>
      <c r="D85" s="230"/>
      <c r="E85" s="182" t="s">
        <v>1069</v>
      </c>
      <c r="F85" s="182" t="s">
        <v>715</v>
      </c>
      <c r="G85" s="182" t="s">
        <v>13177</v>
      </c>
      <c r="H85" s="183">
        <v>0</v>
      </c>
      <c r="I85" s="184" t="s">
        <v>1621</v>
      </c>
      <c r="J85" s="184" t="s">
        <v>13532</v>
      </c>
      <c r="K85" s="224"/>
      <c r="L85" s="224"/>
      <c r="M85" s="224"/>
      <c r="N85" s="224"/>
      <c r="O85" s="224"/>
      <c r="P85" s="185"/>
      <c r="Q85" s="225" t="s">
        <v>15886</v>
      </c>
      <c r="R85" s="182" t="str">
        <f ca="1">IF(ISERROR($V85),"",OFFSET('Smelter Look-up'!$C$4,$V85-4,0)&amp;"")</f>
        <v>Shandong Gold Smelting Co., Ltd.</v>
      </c>
      <c r="S85" s="181" t="str">
        <f t="shared" ca="1" si="11"/>
        <v>CN</v>
      </c>
      <c r="T85" s="181" t="str">
        <f ca="1">IF(B85="","",IF(ISERROR(MATCH($J85,SorP!$B$1:$B$6226,0)),"",INDIRECT("'SorP'!$A$"&amp;MATCH($S85&amp;$J85,SorP!C:C,0))))</f>
        <v>CN-SD</v>
      </c>
      <c r="U85" s="201"/>
      <c r="V85" s="226">
        <f>IF(C85="",NA(),IF(OR(C85="Smelter not listed",C85="Smelter not yet identified"),MATCH($B85&amp;$D85,'Smelter Look-up'!$J:$J,0),MATCH($B85&amp;$C85,'Smelter Look-up'!$J:$J,0)))</f>
        <v>247</v>
      </c>
      <c r="X85" s="227">
        <f t="shared" si="12"/>
        <v>0</v>
      </c>
      <c r="AB85" s="228" t="str">
        <f t="shared" si="13"/>
        <v>GoldShandong Gold Smelting Co., Ltd.</v>
      </c>
    </row>
    <row r="86" spans="1:28" s="227" customFormat="1" ht="38.25">
      <c r="A86" s="181" t="s">
        <v>13774</v>
      </c>
      <c r="B86" s="182" t="s">
        <v>1099</v>
      </c>
      <c r="C86" s="186" t="s">
        <v>13760</v>
      </c>
      <c r="D86" s="230"/>
      <c r="E86" s="182" t="s">
        <v>13050</v>
      </c>
      <c r="F86" s="182" t="s">
        <v>13774</v>
      </c>
      <c r="G86" s="182" t="s">
        <v>13177</v>
      </c>
      <c r="H86" s="183">
        <v>0</v>
      </c>
      <c r="I86" s="184" t="s">
        <v>13785</v>
      </c>
      <c r="J86" s="184" t="s">
        <v>10012</v>
      </c>
      <c r="K86" s="224"/>
      <c r="L86" s="224"/>
      <c r="M86" s="224"/>
      <c r="N86" s="224"/>
      <c r="O86" s="224"/>
      <c r="P86" s="185"/>
      <c r="Q86" s="225" t="s">
        <v>15887</v>
      </c>
      <c r="R86" s="182" t="str">
        <f ca="1">IF(ISERROR($V86),"",OFFSET('Smelter Look-up'!$C$4,$V86-4,0)&amp;"")</f>
        <v>Luna Smelter, Ltd.</v>
      </c>
      <c r="S86" s="181" t="str">
        <f t="shared" ca="1" si="11"/>
        <v>RW</v>
      </c>
      <c r="T86" s="181" t="str">
        <f ca="1">IF(B86="","",IF(ISERROR(MATCH($J86,SorP!$B$1:$B$6226,0)),"",INDIRECT("'SorP'!$A$"&amp;MATCH($S86&amp;$J86,SorP!C:C,0))))</f>
        <v>RW-01</v>
      </c>
      <c r="U86" s="201"/>
      <c r="V86" s="226">
        <f>IF(C86="",NA(),IF(OR(C86="Smelter not listed",C86="Smelter not yet identified"),MATCH($B86&amp;$D86,'Smelter Look-up'!$J:$J,0),MATCH($B86&amp;$C86,'Smelter Look-up'!$J:$J,0)))</f>
        <v>465</v>
      </c>
      <c r="X86" s="227">
        <f t="shared" si="12"/>
        <v>0</v>
      </c>
      <c r="AB86" s="228" t="str">
        <f t="shared" si="13"/>
        <v>TinLuna Smelter, Ltd.</v>
      </c>
    </row>
    <row r="87" spans="1:28" s="227" customFormat="1" ht="51">
      <c r="A87" s="181" t="s">
        <v>15888</v>
      </c>
      <c r="B87" s="182" t="s">
        <v>1099</v>
      </c>
      <c r="C87" s="186" t="s">
        <v>15889</v>
      </c>
      <c r="D87" s="230"/>
      <c r="E87" s="182" t="s">
        <v>1074</v>
      </c>
      <c r="F87" s="182" t="s">
        <v>15888</v>
      </c>
      <c r="G87" s="182" t="s">
        <v>13177</v>
      </c>
      <c r="H87" s="183">
        <v>0</v>
      </c>
      <c r="I87" s="184" t="s">
        <v>14986</v>
      </c>
      <c r="J87" s="184" t="s">
        <v>12799</v>
      </c>
      <c r="K87" s="224"/>
      <c r="L87" s="224"/>
      <c r="M87" s="224"/>
      <c r="N87" s="224"/>
      <c r="O87" s="224"/>
      <c r="P87" s="185"/>
      <c r="Q87" s="225" t="s">
        <v>15887</v>
      </c>
      <c r="R87" s="182" t="str">
        <f ca="1">IF(ISERROR($V87),"",OFFSET('Smelter Look-up'!$C$4,$V87-4,0)&amp;"")</f>
        <v/>
      </c>
      <c r="S87" s="181" t="str">
        <f t="shared" ca="1" si="11"/>
        <v>ID</v>
      </c>
      <c r="T87" s="181" t="str">
        <f ca="1">IF(B87="","",IF(ISERROR(MATCH($J87,SorP!$B$1:$B$6226,0)),"",INDIRECT("'SorP'!$A$"&amp;MATCH($S87&amp;$J87,SorP!C:C,0))))</f>
        <v>ID-BB</v>
      </c>
      <c r="U87" s="201"/>
      <c r="V87" s="226" t="e">
        <f>IF(C87="",NA(),IF(OR(C87="Smelter not listed",C87="Smelter not yet identified"),MATCH($B87&amp;$D87,'Smelter Look-up'!$J:$J,0),MATCH($B87&amp;$C87,'Smelter Look-up'!$J:$J,0)))</f>
        <v>#N/A</v>
      </c>
      <c r="X87" s="227">
        <f t="shared" si="12"/>
        <v>0</v>
      </c>
      <c r="AB87" s="228" t="str">
        <f t="shared" si="13"/>
        <v>TinCV Venus Inti Perkasa</v>
      </c>
    </row>
    <row r="88" spans="1:28" s="227" customFormat="1" ht="76.5">
      <c r="A88" s="181" t="s">
        <v>15310</v>
      </c>
      <c r="B88" s="182" t="s">
        <v>1099</v>
      </c>
      <c r="C88" s="186" t="s">
        <v>15309</v>
      </c>
      <c r="D88" s="230"/>
      <c r="E88" s="182" t="s">
        <v>1074</v>
      </c>
      <c r="F88" s="182" t="s">
        <v>15310</v>
      </c>
      <c r="G88" s="182" t="s">
        <v>13177</v>
      </c>
      <c r="H88" s="183">
        <v>0</v>
      </c>
      <c r="I88" s="184" t="s">
        <v>1726</v>
      </c>
      <c r="J88" s="184" t="s">
        <v>12799</v>
      </c>
      <c r="K88" s="224"/>
      <c r="L88" s="224"/>
      <c r="M88" s="224"/>
      <c r="N88" s="224"/>
      <c r="O88" s="224"/>
      <c r="P88" s="185"/>
      <c r="Q88" s="225" t="s">
        <v>15887</v>
      </c>
      <c r="R88" s="182" t="str">
        <f ca="1">IF(ISERROR($V88),"",OFFSET('Smelter Look-up'!$C$4,$V88-4,0)&amp;"")</f>
        <v>PT Putera Sarana Shakti (PT PSS)</v>
      </c>
      <c r="S88" s="181" t="str">
        <f t="shared" ca="1" si="11"/>
        <v>ID</v>
      </c>
      <c r="T88" s="181" t="str">
        <f ca="1">IF(B88="","",IF(ISERROR(MATCH($J88,SorP!$B$1:$B$6226,0)),"",INDIRECT("'SorP'!$A$"&amp;MATCH($S88&amp;$J88,SorP!C:C,0))))</f>
        <v>ID-BB</v>
      </c>
      <c r="U88" s="201"/>
      <c r="V88" s="226">
        <f>IF(C88="",NA(),IF(OR(C88="Smelter not listed",C88="Smelter not yet identified"),MATCH($B88&amp;$D88,'Smelter Look-up'!$J:$J,0),MATCH($B88&amp;$C88,'Smelter Look-up'!$J:$J,0)))</f>
        <v>506</v>
      </c>
      <c r="X88" s="227">
        <f t="shared" si="12"/>
        <v>0</v>
      </c>
      <c r="AB88" s="228" t="str">
        <f t="shared" si="13"/>
        <v>TinPT Putera Sarana Shakti (PT PSS)</v>
      </c>
    </row>
    <row r="89" spans="1:28" s="227" customFormat="1" ht="51">
      <c r="A89" s="181" t="s">
        <v>15714</v>
      </c>
      <c r="B89" s="182" t="s">
        <v>1099</v>
      </c>
      <c r="C89" s="186" t="s">
        <v>15713</v>
      </c>
      <c r="D89" s="230"/>
      <c r="E89" s="182" t="s">
        <v>1074</v>
      </c>
      <c r="F89" s="182" t="s">
        <v>15714</v>
      </c>
      <c r="G89" s="182" t="s">
        <v>13177</v>
      </c>
      <c r="H89" s="183">
        <v>0</v>
      </c>
      <c r="I89" s="184" t="s">
        <v>14986</v>
      </c>
      <c r="J89" s="184" t="s">
        <v>12799</v>
      </c>
      <c r="K89" s="224"/>
      <c r="L89" s="224"/>
      <c r="M89" s="224"/>
      <c r="N89" s="224"/>
      <c r="O89" s="224"/>
      <c r="P89" s="185"/>
      <c r="Q89" s="225" t="s">
        <v>15887</v>
      </c>
      <c r="R89" s="182" t="str">
        <f ca="1">IF(ISERROR($V89),"",OFFSET('Smelter Look-up'!$C$4,$V89-4,0)&amp;"")</f>
        <v>PT Prima Timah Utama</v>
      </c>
      <c r="S89" s="181" t="str">
        <f t="shared" ca="1" si="11"/>
        <v>ID</v>
      </c>
      <c r="T89" s="181" t="str">
        <f ca="1">IF(B89="","",IF(ISERROR(MATCH($J89,SorP!$B$1:$B$6226,0)),"",INDIRECT("'SorP'!$A$"&amp;MATCH($S89&amp;$J89,SorP!C:C,0))))</f>
        <v>ID-BB</v>
      </c>
      <c r="U89" s="201"/>
      <c r="V89" s="226">
        <f>IF(C89="",NA(),IF(OR(C89="Smelter not listed",C89="Smelter not yet identified"),MATCH($B89&amp;$D89,'Smelter Look-up'!$J:$J,0),MATCH($B89&amp;$C89,'Smelter Look-up'!$J:$J,0)))</f>
        <v>505</v>
      </c>
      <c r="X89" s="227">
        <f t="shared" si="12"/>
        <v>0</v>
      </c>
      <c r="AB89" s="228" t="str">
        <f t="shared" si="13"/>
        <v>TinPT Prima Timah Utama</v>
      </c>
    </row>
    <row r="90" spans="1:28" s="227" customFormat="1" ht="25.5">
      <c r="A90" s="181" t="s">
        <v>763</v>
      </c>
      <c r="B90" s="182" t="s">
        <v>1099</v>
      </c>
      <c r="C90" s="186" t="s">
        <v>1000</v>
      </c>
      <c r="D90" s="230"/>
      <c r="E90" s="182" t="s">
        <v>859</v>
      </c>
      <c r="F90" s="182" t="s">
        <v>763</v>
      </c>
      <c r="G90" s="182" t="s">
        <v>13177</v>
      </c>
      <c r="H90" s="183">
        <v>0</v>
      </c>
      <c r="I90" s="184" t="s">
        <v>1752</v>
      </c>
      <c r="J90" s="184" t="s">
        <v>1753</v>
      </c>
      <c r="K90" s="224"/>
      <c r="L90" s="224"/>
      <c r="M90" s="224"/>
      <c r="N90" s="224"/>
      <c r="O90" s="224"/>
      <c r="P90" s="185"/>
      <c r="Q90" s="225" t="s">
        <v>15887</v>
      </c>
      <c r="R90" s="182" t="str">
        <f ca="1">IF(ISERROR($V90),"",OFFSET('Smelter Look-up'!$C$4,$V90-4,0)&amp;"")</f>
        <v>Thaisarco</v>
      </c>
      <c r="S90" s="181" t="str">
        <f t="shared" ca="1" si="11"/>
        <v>TH</v>
      </c>
      <c r="T90" s="181" t="str">
        <f ca="1">IF(B90="","",IF(ISERROR(MATCH($J90,SorP!$B$1:$B$6226,0)),"",INDIRECT("'SorP'!$A$"&amp;MATCH($S90&amp;$J90,SorP!C:C,0))))</f>
        <v>TH-83</v>
      </c>
      <c r="U90" s="201"/>
      <c r="V90" s="226">
        <f>IF(C90="",NA(),IF(OR(C90="Smelter not listed",C90="Smelter not yet identified"),MATCH($B90&amp;$D90,'Smelter Look-up'!$J:$J,0),MATCH($B90&amp;$C90,'Smelter Look-up'!$J:$J,0)))</f>
        <v>521</v>
      </c>
      <c r="X90" s="227">
        <f t="shared" si="12"/>
        <v>0</v>
      </c>
      <c r="AB90" s="228" t="str">
        <f t="shared" si="13"/>
        <v>TinThaisarco</v>
      </c>
    </row>
    <row r="91" spans="1:28" s="227" customFormat="1" ht="38.25">
      <c r="A91" s="181" t="s">
        <v>745</v>
      </c>
      <c r="B91" s="182" t="s">
        <v>1099</v>
      </c>
      <c r="C91" s="186" t="s">
        <v>814</v>
      </c>
      <c r="D91" s="230"/>
      <c r="E91" s="182" t="s">
        <v>2382</v>
      </c>
      <c r="F91" s="182" t="s">
        <v>745</v>
      </c>
      <c r="G91" s="182" t="s">
        <v>13177</v>
      </c>
      <c r="H91" s="183">
        <v>0</v>
      </c>
      <c r="I91" s="184" t="s">
        <v>1728</v>
      </c>
      <c r="J91" s="184" t="s">
        <v>1728</v>
      </c>
      <c r="K91" s="224"/>
      <c r="L91" s="224"/>
      <c r="M91" s="224"/>
      <c r="N91" s="224"/>
      <c r="O91" s="224"/>
      <c r="P91" s="185"/>
      <c r="Q91" s="225" t="s">
        <v>15887</v>
      </c>
      <c r="R91" s="182" t="str">
        <f ca="1">IF(ISERROR($V91),"",OFFSET('Smelter Look-up'!$C$4,$V91-4,0)&amp;"")</f>
        <v>EM Vinto</v>
      </c>
      <c r="S91" s="181" t="str">
        <f t="shared" ca="1" si="11"/>
        <v>BO</v>
      </c>
      <c r="T91" s="181" t="str">
        <f ca="1">IF(B91="","",IF(ISERROR(MATCH($J91,SorP!$B$1:$B$6226,0)),"",INDIRECT("'SorP'!$A$"&amp;MATCH($S91&amp;$J91,SorP!C:C,0))))</f>
        <v>BO-O</v>
      </c>
      <c r="U91" s="201"/>
      <c r="V91" s="226">
        <f>IF(C91="",NA(),IF(OR(C91="Smelter not listed",C91="Smelter not yet identified"),MATCH($B91&amp;$D91,'Smelter Look-up'!$J:$J,0),MATCH($B91&amp;$C91,'Smelter Look-up'!$J:$J,0)))</f>
        <v>428</v>
      </c>
      <c r="X91" s="227">
        <f t="shared" si="12"/>
        <v>0</v>
      </c>
      <c r="AB91" s="228" t="str">
        <f t="shared" si="13"/>
        <v>TinEM Vinto</v>
      </c>
    </row>
    <row r="92" spans="1:28" s="227" customFormat="1" ht="51">
      <c r="A92" s="181" t="s">
        <v>13122</v>
      </c>
      <c r="B92" s="182" t="s">
        <v>1099</v>
      </c>
      <c r="C92" s="186" t="s">
        <v>13121</v>
      </c>
      <c r="D92" s="230"/>
      <c r="E92" s="182" t="s">
        <v>2384</v>
      </c>
      <c r="F92" s="182" t="s">
        <v>13122</v>
      </c>
      <c r="G92" s="182" t="s">
        <v>13177</v>
      </c>
      <c r="H92" s="183">
        <v>0</v>
      </c>
      <c r="I92" s="184" t="s">
        <v>13123</v>
      </c>
      <c r="J92" s="184" t="s">
        <v>1699</v>
      </c>
      <c r="K92" s="224"/>
      <c r="L92" s="224"/>
      <c r="M92" s="224"/>
      <c r="N92" s="224"/>
      <c r="O92" s="224"/>
      <c r="P92" s="185"/>
      <c r="Q92" s="225" t="s">
        <v>15887</v>
      </c>
      <c r="R92" s="182" t="str">
        <f ca="1">IF(ISERROR($V92),"",OFFSET('Smelter Look-up'!$C$4,$V92-4,0)&amp;"")</f>
        <v>Tin Technology &amp; Refining</v>
      </c>
      <c r="S92" s="181" t="str">
        <f t="shared" ca="1" si="11"/>
        <v>US</v>
      </c>
      <c r="T92" s="181" t="str">
        <f ca="1">IF(B92="","",IF(ISERROR(MATCH($J92,SorP!$B$1:$B$6226,0)),"",INDIRECT("'SorP'!$A$"&amp;MATCH($S92&amp;$J92,SorP!C:C,0))))</f>
        <v>US-PA</v>
      </c>
      <c r="U92" s="201"/>
      <c r="V92" s="226">
        <f>IF(C92="",NA(),IF(OR(C92="Smelter not listed",C92="Smelter not yet identified"),MATCH($B92&amp;$D92,'Smelter Look-up'!$J:$J,0),MATCH($B92&amp;$C92,'Smelter Look-up'!$J:$J,0)))</f>
        <v>525</v>
      </c>
      <c r="X92" s="227">
        <f t="shared" si="12"/>
        <v>0</v>
      </c>
      <c r="AB92" s="228" t="str">
        <f t="shared" si="13"/>
        <v>TinTin Technology &amp; Refining</v>
      </c>
    </row>
    <row r="93" spans="1:28" s="227" customFormat="1" ht="76.5">
      <c r="A93" s="181" t="s">
        <v>752</v>
      </c>
      <c r="B93" s="182" t="s">
        <v>1099</v>
      </c>
      <c r="C93" s="186" t="s">
        <v>793</v>
      </c>
      <c r="D93" s="230"/>
      <c r="E93" s="182" t="s">
        <v>1084</v>
      </c>
      <c r="F93" s="182" t="s">
        <v>752</v>
      </c>
      <c r="G93" s="182" t="s">
        <v>13177</v>
      </c>
      <c r="H93" s="183">
        <v>0</v>
      </c>
      <c r="I93" s="184" t="s">
        <v>1739</v>
      </c>
      <c r="J93" s="184" t="s">
        <v>8635</v>
      </c>
      <c r="K93" s="224"/>
      <c r="L93" s="224"/>
      <c r="M93" s="224"/>
      <c r="N93" s="224"/>
      <c r="O93" s="224"/>
      <c r="P93" s="185"/>
      <c r="Q93" s="225" t="s">
        <v>15887</v>
      </c>
      <c r="R93" s="182" t="str">
        <f ca="1">IF(ISERROR($V93),"",OFFSET('Smelter Look-up'!$C$4,$V93-4,0)&amp;"")</f>
        <v>Malaysia Smelting Corporation (MSC)</v>
      </c>
      <c r="S93" s="181" t="str">
        <f t="shared" ca="1" si="11"/>
        <v>MY</v>
      </c>
      <c r="T93" s="181" t="str">
        <f ca="1">IF(B93="","",IF(ISERROR(MATCH($J93,SorP!$B$1:$B$6226,0)),"",INDIRECT("'SorP'!$A$"&amp;MATCH($S93&amp;$J93,SorP!C:C,0))))</f>
        <v>MY-07</v>
      </c>
      <c r="U93" s="201"/>
      <c r="V93" s="226">
        <f>IF(C93="",NA(),IF(OR(C93="Smelter not listed",C93="Smelter not yet identified"),MATCH($B93&amp;$D93,'Smelter Look-up'!$J:$J,0),MATCH($B93&amp;$C93,'Smelter Look-up'!$J:$J,0)))</f>
        <v>468</v>
      </c>
      <c r="X93" s="227">
        <f t="shared" si="12"/>
        <v>0</v>
      </c>
      <c r="AB93" s="228" t="str">
        <f t="shared" si="13"/>
        <v>TinMalaysia Smelting Corporation (MSC)</v>
      </c>
    </row>
    <row r="94" spans="1:28" s="227" customFormat="1" ht="51">
      <c r="A94" s="181" t="s">
        <v>760</v>
      </c>
      <c r="B94" s="182" t="s">
        <v>1099</v>
      </c>
      <c r="C94" s="186" t="s">
        <v>13713</v>
      </c>
      <c r="D94" s="230"/>
      <c r="E94" s="182" t="s">
        <v>1074</v>
      </c>
      <c r="F94" s="182" t="s">
        <v>760</v>
      </c>
      <c r="G94" s="182" t="s">
        <v>13177</v>
      </c>
      <c r="H94" s="183">
        <v>0</v>
      </c>
      <c r="I94" s="184" t="s">
        <v>1751</v>
      </c>
      <c r="J94" s="184" t="s">
        <v>12799</v>
      </c>
      <c r="K94" s="224"/>
      <c r="L94" s="224"/>
      <c r="M94" s="224"/>
      <c r="N94" s="224"/>
      <c r="O94" s="224"/>
      <c r="P94" s="185"/>
      <c r="Q94" s="225" t="s">
        <v>15887</v>
      </c>
      <c r="R94" s="182" t="str">
        <f ca="1">IF(ISERROR($V94),"",OFFSET('Smelter Look-up'!$C$4,$V94-4,0)&amp;"")</f>
        <v>PT Timah Tbk Mentok</v>
      </c>
      <c r="S94" s="181" t="str">
        <f t="shared" ca="1" si="11"/>
        <v>ID</v>
      </c>
      <c r="T94" s="181" t="str">
        <f ca="1">IF(B94="","",IF(ISERROR(MATCH($J94,SorP!$B$1:$B$6226,0)),"",INDIRECT("'SorP'!$A$"&amp;MATCH($S94&amp;$J94,SorP!C:C,0))))</f>
        <v>ID-BB</v>
      </c>
      <c r="U94" s="201"/>
      <c r="V94" s="226">
        <f>IF(C94="",NA(),IF(OR(C94="Smelter not listed",C94="Smelter not yet identified"),MATCH($B94&amp;$D94,'Smelter Look-up'!$J:$J,0),MATCH($B94&amp;$C94,'Smelter Look-up'!$J:$J,0)))</f>
        <v>510</v>
      </c>
      <c r="X94" s="227">
        <f t="shared" si="12"/>
        <v>0</v>
      </c>
      <c r="AB94" s="228" t="str">
        <f t="shared" si="13"/>
        <v>TinPT Timah Tbk Mentok</v>
      </c>
    </row>
    <row r="95" spans="1:28" s="227" customFormat="1" ht="51">
      <c r="A95" s="181" t="s">
        <v>15851</v>
      </c>
      <c r="B95" s="182" t="s">
        <v>1099</v>
      </c>
      <c r="C95" s="186" t="s">
        <v>15852</v>
      </c>
      <c r="D95" s="230"/>
      <c r="E95" s="182" t="s">
        <v>1074</v>
      </c>
      <c r="F95" s="182" t="s">
        <v>15851</v>
      </c>
      <c r="G95" s="182" t="s">
        <v>13177</v>
      </c>
      <c r="H95" s="183">
        <v>0</v>
      </c>
      <c r="I95" s="184" t="s">
        <v>1726</v>
      </c>
      <c r="J95" s="184" t="s">
        <v>12799</v>
      </c>
      <c r="K95" s="224"/>
      <c r="L95" s="224"/>
      <c r="M95" s="224"/>
      <c r="N95" s="224"/>
      <c r="O95" s="224"/>
      <c r="P95" s="185"/>
      <c r="Q95" s="225" t="s">
        <v>15887</v>
      </c>
      <c r="R95" s="182" t="str">
        <f ca="1">IF(ISERROR($V95),"",OFFSET('Smelter Look-up'!$C$4,$V95-4,0)&amp;"")</f>
        <v/>
      </c>
      <c r="S95" s="181" t="str">
        <f t="shared" ca="1" si="11"/>
        <v>ID</v>
      </c>
      <c r="T95" s="181" t="str">
        <f ca="1">IF(B95="","",IF(ISERROR(MATCH($J95,SorP!$B$1:$B$6226,0)),"",INDIRECT("'SorP'!$A$"&amp;MATCH($S95&amp;$J95,SorP!C:C,0))))</f>
        <v>ID-BB</v>
      </c>
      <c r="U95" s="201"/>
      <c r="V95" s="226" t="e">
        <f>IF(C95="",NA(),IF(OR(C95="Smelter not listed",C95="Smelter not yet identified"),MATCH($B95&amp;$D95,'Smelter Look-up'!$J:$J,0),MATCH($B95&amp;$C95,'Smelter Look-up'!$J:$J,0)))</f>
        <v>#N/A</v>
      </c>
      <c r="X95" s="227">
        <f t="shared" si="12"/>
        <v>0</v>
      </c>
      <c r="AB95" s="228" t="str">
        <f t="shared" si="13"/>
        <v>TinPT Refined Bangka Tin</v>
      </c>
    </row>
    <row r="96" spans="1:28" s="227" customFormat="1" ht="63.75">
      <c r="A96" s="181" t="s">
        <v>15862</v>
      </c>
      <c r="B96" s="182" t="s">
        <v>1099</v>
      </c>
      <c r="C96" s="186" t="s">
        <v>15863</v>
      </c>
      <c r="D96" s="230"/>
      <c r="E96" s="182" t="s">
        <v>1074</v>
      </c>
      <c r="F96" s="182" t="s">
        <v>15862</v>
      </c>
      <c r="G96" s="182" t="s">
        <v>13177</v>
      </c>
      <c r="H96" s="183">
        <v>0</v>
      </c>
      <c r="I96" s="184" t="s">
        <v>1726</v>
      </c>
      <c r="J96" s="184" t="s">
        <v>12799</v>
      </c>
      <c r="K96" s="224"/>
      <c r="L96" s="224"/>
      <c r="M96" s="224"/>
      <c r="N96" s="224"/>
      <c r="O96" s="224"/>
      <c r="P96" s="185"/>
      <c r="Q96" s="225" t="s">
        <v>15887</v>
      </c>
      <c r="R96" s="182" t="str">
        <f ca="1">IF(ISERROR($V96),"",OFFSET('Smelter Look-up'!$C$4,$V96-4,0)&amp;"")</f>
        <v/>
      </c>
      <c r="S96" s="181" t="str">
        <f t="shared" ca="1" si="11"/>
        <v>ID</v>
      </c>
      <c r="T96" s="181" t="str">
        <f ca="1">IF(B96="","",IF(ISERROR(MATCH($J96,SorP!$B$1:$B$6226,0)),"",INDIRECT("'SorP'!$A$"&amp;MATCH($S96&amp;$J96,SorP!C:C,0))))</f>
        <v>ID-BB</v>
      </c>
      <c r="U96" s="201"/>
      <c r="V96" s="226" t="e">
        <f>IF(C96="",NA(),IF(OR(C96="Smelter not listed",C96="Smelter not yet identified"),MATCH($B96&amp;$D96,'Smelter Look-up'!$J:$J,0),MATCH($B96&amp;$C96,'Smelter Look-up'!$J:$J,0)))</f>
        <v>#N/A</v>
      </c>
      <c r="X96" s="227">
        <f t="shared" si="12"/>
        <v>0</v>
      </c>
      <c r="AB96" s="228" t="str">
        <f t="shared" si="13"/>
        <v>TinPT Artha Cipta Langgeng</v>
      </c>
    </row>
    <row r="97" spans="1:28" s="227" customFormat="1" ht="51">
      <c r="A97" s="181" t="s">
        <v>759</v>
      </c>
      <c r="B97" s="182" t="s">
        <v>1099</v>
      </c>
      <c r="C97" s="186" t="s">
        <v>610</v>
      </c>
      <c r="D97" s="230"/>
      <c r="E97" s="182" t="s">
        <v>1074</v>
      </c>
      <c r="F97" s="182" t="s">
        <v>759</v>
      </c>
      <c r="G97" s="182" t="s">
        <v>13177</v>
      </c>
      <c r="H97" s="183">
        <v>0</v>
      </c>
      <c r="I97" s="184" t="s">
        <v>1726</v>
      </c>
      <c r="J97" s="184" t="s">
        <v>12799</v>
      </c>
      <c r="K97" s="224"/>
      <c r="L97" s="224"/>
      <c r="M97" s="224"/>
      <c r="N97" s="224"/>
      <c r="O97" s="224"/>
      <c r="P97" s="185"/>
      <c r="Q97" s="225" t="s">
        <v>15887</v>
      </c>
      <c r="R97" s="182" t="str">
        <f ca="1">IF(ISERROR($V97),"",OFFSET('Smelter Look-up'!$C$4,$V97-4,0)&amp;"")</f>
        <v>PT Mitra Stania Prima</v>
      </c>
      <c r="S97" s="181" t="str">
        <f t="shared" ca="1" si="11"/>
        <v>ID</v>
      </c>
      <c r="T97" s="181" t="str">
        <f ca="1">IF(B97="","",IF(ISERROR(MATCH($J97,SorP!$B$1:$B$6226,0)),"",INDIRECT("'SorP'!$A$"&amp;MATCH($S97&amp;$J97,SorP!C:C,0))))</f>
        <v>ID-BB</v>
      </c>
      <c r="U97" s="201"/>
      <c r="V97" s="226">
        <f>IF(C97="",NA(),IF(OR(C97="Smelter not listed",C97="Smelter not yet identified"),MATCH($B97&amp;$D97,'Smelter Look-up'!$J:$J,0),MATCH($B97&amp;$C97,'Smelter Look-up'!$J:$J,0)))</f>
        <v>502</v>
      </c>
      <c r="X97" s="227">
        <f t="shared" si="12"/>
        <v>0</v>
      </c>
      <c r="AB97" s="228" t="str">
        <f t="shared" si="13"/>
        <v>TinPT Mitra Stania Prima</v>
      </c>
    </row>
    <row r="98" spans="1:28" s="227" customFormat="1" ht="51">
      <c r="A98" s="181" t="s">
        <v>777</v>
      </c>
      <c r="B98" s="182" t="s">
        <v>1099</v>
      </c>
      <c r="C98" s="186" t="s">
        <v>13714</v>
      </c>
      <c r="D98" s="230"/>
      <c r="E98" s="182" t="s">
        <v>1074</v>
      </c>
      <c r="F98" s="182" t="s">
        <v>777</v>
      </c>
      <c r="G98" s="182" t="s">
        <v>13177</v>
      </c>
      <c r="H98" s="183">
        <v>0</v>
      </c>
      <c r="I98" s="184" t="s">
        <v>1749</v>
      </c>
      <c r="J98" s="184" t="s">
        <v>6016</v>
      </c>
      <c r="K98" s="224"/>
      <c r="L98" s="224"/>
      <c r="M98" s="224"/>
      <c r="N98" s="224"/>
      <c r="O98" s="224"/>
      <c r="P98" s="185"/>
      <c r="Q98" s="225" t="s">
        <v>15887</v>
      </c>
      <c r="R98" s="182" t="str">
        <f ca="1">IF(ISERROR($V98),"",OFFSET('Smelter Look-up'!$C$4,$V98-4,0)&amp;"")</f>
        <v>PT Timah Tbk Kundur</v>
      </c>
      <c r="S98" s="181" t="str">
        <f t="shared" ca="1" si="11"/>
        <v>ID</v>
      </c>
      <c r="T98" s="181" t="str">
        <f ca="1">IF(B98="","",IF(ISERROR(MATCH($J98,SorP!$B$1:$B$6226,0)),"",INDIRECT("'SorP'!$A$"&amp;MATCH($S98&amp;$J98,SorP!C:C,0))))</f>
        <v>ID-RI</v>
      </c>
      <c r="U98" s="201"/>
      <c r="V98" s="226">
        <f>IF(C98="",NA(),IF(OR(C98="Smelter not listed",C98="Smelter not yet identified"),MATCH($B98&amp;$D98,'Smelter Look-up'!$J:$J,0),MATCH($B98&amp;$C98,'Smelter Look-up'!$J:$J,0)))</f>
        <v>509</v>
      </c>
      <c r="X98" s="227">
        <f t="shared" si="12"/>
        <v>0</v>
      </c>
      <c r="AB98" s="228" t="str">
        <f t="shared" si="13"/>
        <v>TinPT Timah Tbk Kundur</v>
      </c>
    </row>
    <row r="99" spans="1:28" s="227" customFormat="1" ht="38.25">
      <c r="A99" s="181" t="s">
        <v>1772</v>
      </c>
      <c r="B99" s="182" t="s">
        <v>1099</v>
      </c>
      <c r="C99" s="186" t="s">
        <v>15341</v>
      </c>
      <c r="D99" s="230"/>
      <c r="E99" s="182" t="s">
        <v>1064</v>
      </c>
      <c r="F99" s="182" t="s">
        <v>1772</v>
      </c>
      <c r="G99" s="182" t="s">
        <v>13177</v>
      </c>
      <c r="H99" s="183">
        <v>0</v>
      </c>
      <c r="I99" s="184" t="s">
        <v>1773</v>
      </c>
      <c r="J99" s="184" t="s">
        <v>3104</v>
      </c>
      <c r="K99" s="224"/>
      <c r="L99" s="224"/>
      <c r="M99" s="224"/>
      <c r="N99" s="224"/>
      <c r="O99" s="224"/>
      <c r="P99" s="185"/>
      <c r="Q99" s="225" t="s">
        <v>15887</v>
      </c>
      <c r="R99" s="182" t="str">
        <f ca="1">IF(ISERROR($V99),"",OFFSET('Smelter Look-up'!$C$4,$V99-4,0)&amp;"")</f>
        <v>Aurubis Beerse</v>
      </c>
      <c r="S99" s="181" t="str">
        <f t="shared" ca="1" si="11"/>
        <v>BE</v>
      </c>
      <c r="T99" s="181" t="str">
        <f ca="1">IF(B99="","",IF(ISERROR(MATCH($J99,SorP!$B$1:$B$6226,0)),"",INDIRECT("'SorP'!$A$"&amp;MATCH($S99&amp;$J99,SorP!C:C,0))))</f>
        <v>BE-VAN</v>
      </c>
      <c r="U99" s="201"/>
      <c r="V99" s="226">
        <f>IF(C99="",NA(),IF(OR(C99="Smelter not listed",C99="Smelter not yet identified"),MATCH($B99&amp;$D99,'Smelter Look-up'!$J:$J,0),MATCH($B99&amp;$C99,'Smelter Look-up'!$J:$J,0)))</f>
        <v>404</v>
      </c>
      <c r="X99" s="227">
        <f t="shared" si="12"/>
        <v>0</v>
      </c>
      <c r="AB99" s="228" t="str">
        <f t="shared" si="13"/>
        <v>TinAurubis Beerse</v>
      </c>
    </row>
    <row r="100" spans="1:28" s="227" customFormat="1" ht="38.25">
      <c r="A100" s="181" t="s">
        <v>745</v>
      </c>
      <c r="B100" s="182" t="s">
        <v>1099</v>
      </c>
      <c r="C100" s="186" t="s">
        <v>814</v>
      </c>
      <c r="D100" s="230"/>
      <c r="E100" s="182" t="s">
        <v>2382</v>
      </c>
      <c r="F100" s="182" t="s">
        <v>745</v>
      </c>
      <c r="G100" s="182" t="s">
        <v>13177</v>
      </c>
      <c r="H100" s="183">
        <v>0</v>
      </c>
      <c r="I100" s="184" t="s">
        <v>1728</v>
      </c>
      <c r="J100" s="184" t="s">
        <v>1728</v>
      </c>
      <c r="K100" s="224"/>
      <c r="L100" s="224"/>
      <c r="M100" s="224"/>
      <c r="N100" s="224"/>
      <c r="O100" s="224"/>
      <c r="P100" s="185"/>
      <c r="Q100" s="225" t="s">
        <v>15887</v>
      </c>
      <c r="R100" s="182" t="str">
        <f ca="1">IF(ISERROR($V100),"",OFFSET('Smelter Look-up'!$C$4,$V100-4,0)&amp;"")</f>
        <v>EM Vinto</v>
      </c>
      <c r="S100" s="181" t="str">
        <f t="shared" ca="1" si="11"/>
        <v>BO</v>
      </c>
      <c r="T100" s="181" t="str">
        <f ca="1">IF(B100="","",IF(ISERROR(MATCH($J100,SorP!$B$1:$B$6226,0)),"",INDIRECT("'SorP'!$A$"&amp;MATCH($S100&amp;$J100,SorP!C:C,0))))</f>
        <v>BO-O</v>
      </c>
      <c r="U100" s="201"/>
      <c r="V100" s="226">
        <f>IF(C100="",NA(),IF(OR(C100="Smelter not listed",C100="Smelter not yet identified"),MATCH($B100&amp;$D100,'Smelter Look-up'!$J:$J,0),MATCH($B100&amp;$C100,'Smelter Look-up'!$J:$J,0)))</f>
        <v>428</v>
      </c>
      <c r="X100" s="227">
        <f t="shared" si="12"/>
        <v>0</v>
      </c>
      <c r="AB100" s="228" t="str">
        <f t="shared" si="13"/>
        <v>TinEM Vinto</v>
      </c>
    </row>
    <row r="101" spans="1:28" s="227" customFormat="1" ht="63.75">
      <c r="A101" s="181" t="s">
        <v>15859</v>
      </c>
      <c r="B101" s="182" t="s">
        <v>1099</v>
      </c>
      <c r="C101" s="186" t="s">
        <v>15860</v>
      </c>
      <c r="D101" s="230"/>
      <c r="E101" s="182" t="s">
        <v>1074</v>
      </c>
      <c r="F101" s="182" t="s">
        <v>15859</v>
      </c>
      <c r="G101" s="182" t="s">
        <v>13177</v>
      </c>
      <c r="H101" s="183">
        <v>0</v>
      </c>
      <c r="I101" s="184" t="s">
        <v>15861</v>
      </c>
      <c r="J101" s="184" t="s">
        <v>12799</v>
      </c>
      <c r="K101" s="224"/>
      <c r="L101" s="224"/>
      <c r="M101" s="224"/>
      <c r="N101" s="224"/>
      <c r="O101" s="224"/>
      <c r="P101" s="185"/>
      <c r="Q101" s="225" t="s">
        <v>15887</v>
      </c>
      <c r="R101" s="182" t="str">
        <f ca="1">IF(ISERROR($V101),"",OFFSET('Smelter Look-up'!$C$4,$V101-4,0)&amp;"")</f>
        <v/>
      </c>
      <c r="S101" s="181" t="str">
        <f t="shared" ca="1" si="11"/>
        <v>ID</v>
      </c>
      <c r="T101" s="181" t="str">
        <f ca="1">IF(B101="","",IF(ISERROR(MATCH($J101,SorP!$B$1:$B$6226,0)),"",INDIRECT("'SorP'!$A$"&amp;MATCH($S101&amp;$J101,SorP!C:C,0))))</f>
        <v>ID-BB</v>
      </c>
      <c r="U101" s="201"/>
      <c r="V101" s="226" t="e">
        <f>IF(C101="",NA(),IF(OR(C101="Smelter not listed",C101="Smelter not yet identified"),MATCH($B101&amp;$D101,'Smelter Look-up'!$J:$J,0),MATCH($B101&amp;$C101,'Smelter Look-up'!$J:$J,0)))</f>
        <v>#N/A</v>
      </c>
      <c r="X101" s="227">
        <f t="shared" si="12"/>
        <v>0</v>
      </c>
      <c r="AB101" s="228" t="str">
        <f t="shared" si="13"/>
        <v>TinPT Aries Kencana Sejahtera</v>
      </c>
    </row>
    <row r="102" spans="1:28" s="227" customFormat="1" ht="25.5">
      <c r="A102" s="181" t="s">
        <v>747</v>
      </c>
      <c r="B102" s="182" t="s">
        <v>1099</v>
      </c>
      <c r="C102" s="186" t="s">
        <v>788</v>
      </c>
      <c r="D102" s="230"/>
      <c r="E102" s="182" t="s">
        <v>853</v>
      </c>
      <c r="F102" s="182" t="s">
        <v>747</v>
      </c>
      <c r="G102" s="182" t="s">
        <v>13177</v>
      </c>
      <c r="H102" s="183">
        <v>0</v>
      </c>
      <c r="I102" s="184" t="s">
        <v>1730</v>
      </c>
      <c r="J102" s="184" t="s">
        <v>9448</v>
      </c>
      <c r="K102" s="224"/>
      <c r="L102" s="224"/>
      <c r="M102" s="224"/>
      <c r="N102" s="224"/>
      <c r="O102" s="224"/>
      <c r="P102" s="185"/>
      <c r="Q102" s="225" t="s">
        <v>15887</v>
      </c>
      <c r="R102" s="182" t="str">
        <f ca="1">IF(ISERROR($V102),"",OFFSET('Smelter Look-up'!$C$4,$V102-4,0)&amp;"")</f>
        <v>Fenix Metals</v>
      </c>
      <c r="S102" s="181" t="str">
        <f t="shared" ref="S102:S132" ca="1" si="14">IF(B102="","",IF(ISERROR(MATCH($E102,CL,0)),"Unknown",INDIRECT("'C'!$A$"&amp;MATCH($E102,CL,0)+1)))</f>
        <v>PL</v>
      </c>
      <c r="T102" s="181" t="str">
        <f ca="1">IF(B102="","",IF(ISERROR(MATCH($J102,SorP!$B$1:$B$6226,0)),"",INDIRECT("'SorP'!$A$"&amp;MATCH($S102&amp;$J102,SorP!C:C,0))))</f>
        <v>PL-18</v>
      </c>
      <c r="U102" s="201"/>
      <c r="V102" s="226">
        <f>IF(C102="",NA(),IF(OR(C102="Smelter not listed",C102="Smelter not yet identified"),MATCH($B102&amp;$D102,'Smelter Look-up'!$J:$J,0),MATCH($B102&amp;$C102,'Smelter Look-up'!$J:$J,0)))</f>
        <v>437</v>
      </c>
      <c r="X102" s="227">
        <f t="shared" ref="X102:X132" si="15">IF(AND(C102="Smelter not listed",OR(LEN(D102)=0,LEN(E102)=0)),1,0)</f>
        <v>0</v>
      </c>
      <c r="AB102" s="228" t="str">
        <f t="shared" ref="AB102:AB132" si="16">B102&amp;C102</f>
        <v>TinFenix Metals</v>
      </c>
    </row>
    <row r="103" spans="1:28" s="227" customFormat="1" ht="89.25">
      <c r="A103" s="181" t="s">
        <v>748</v>
      </c>
      <c r="B103" s="182" t="s">
        <v>1099</v>
      </c>
      <c r="C103" s="186" t="s">
        <v>2099</v>
      </c>
      <c r="D103" s="230"/>
      <c r="E103" s="182" t="s">
        <v>1069</v>
      </c>
      <c r="F103" s="182" t="s">
        <v>748</v>
      </c>
      <c r="G103" s="182" t="s">
        <v>13177</v>
      </c>
      <c r="H103" s="183">
        <v>0</v>
      </c>
      <c r="I103" s="184" t="s">
        <v>2398</v>
      </c>
      <c r="J103" s="184" t="s">
        <v>13540</v>
      </c>
      <c r="K103" s="224"/>
      <c r="L103" s="224"/>
      <c r="M103" s="224"/>
      <c r="N103" s="224"/>
      <c r="O103" s="224"/>
      <c r="P103" s="185"/>
      <c r="Q103" s="225" t="s">
        <v>15887</v>
      </c>
      <c r="R103" s="182" t="str">
        <f ca="1">IF(ISERROR($V103),"",OFFSET('Smelter Look-up'!$C$4,$V103-4,0)&amp;"")</f>
        <v>Gejiu Non-Ferrous Metal Processing Co., Ltd.</v>
      </c>
      <c r="S103" s="181" t="str">
        <f t="shared" ca="1" si="14"/>
        <v>CN</v>
      </c>
      <c r="T103" s="181" t="str">
        <f ca="1">IF(B103="","",IF(ISERROR(MATCH($J103,SorP!$B$1:$B$6226,0)),"",INDIRECT("'SorP'!$A$"&amp;MATCH($S103&amp;$J103,SorP!C:C,0))))</f>
        <v>CN-YN</v>
      </c>
      <c r="U103" s="201"/>
      <c r="V103" s="226">
        <f>IF(C103="",NA(),IF(OR(C103="Smelter not listed",C103="Smelter not yet identified"),MATCH($B103&amp;$D103,'Smelter Look-up'!$J:$J,0),MATCH($B103&amp;$C103,'Smelter Look-up'!$J:$J,0)))</f>
        <v>443</v>
      </c>
      <c r="X103" s="227">
        <f t="shared" si="15"/>
        <v>0</v>
      </c>
      <c r="AB103" s="228" t="str">
        <f t="shared" si="16"/>
        <v>TinGejiu Non-Ferrous Metal Processing Co., Ltd.</v>
      </c>
    </row>
    <row r="104" spans="1:28" s="227" customFormat="1" ht="51">
      <c r="A104" s="181" t="s">
        <v>1740</v>
      </c>
      <c r="B104" s="182" t="s">
        <v>1099</v>
      </c>
      <c r="C104" s="186" t="s">
        <v>2104</v>
      </c>
      <c r="D104" s="230"/>
      <c r="E104" s="182" t="s">
        <v>2384</v>
      </c>
      <c r="F104" s="182" t="s">
        <v>1740</v>
      </c>
      <c r="G104" s="182" t="s">
        <v>13177</v>
      </c>
      <c r="H104" s="183">
        <v>0</v>
      </c>
      <c r="I104" s="184" t="s">
        <v>1741</v>
      </c>
      <c r="J104" s="184" t="s">
        <v>1601</v>
      </c>
      <c r="K104" s="224"/>
      <c r="L104" s="224"/>
      <c r="M104" s="224"/>
      <c r="N104" s="224"/>
      <c r="O104" s="224"/>
      <c r="P104" s="185"/>
      <c r="Q104" s="225" t="s">
        <v>15887</v>
      </c>
      <c r="R104" s="182" t="str">
        <f ca="1">IF(ISERROR($V104),"",OFFSET('Smelter Look-up'!$C$4,$V104-4,0)&amp;"")</f>
        <v>Metallic Resources, Inc.</v>
      </c>
      <c r="S104" s="181" t="str">
        <f t="shared" ca="1" si="14"/>
        <v>US</v>
      </c>
      <c r="T104" s="181" t="str">
        <f ca="1">IF(B104="","",IF(ISERROR(MATCH($J104,SorP!$B$1:$B$6226,0)),"",INDIRECT("'SorP'!$A$"&amp;MATCH($S104&amp;$J104,SorP!C:C,0))))</f>
        <v>US-OH</v>
      </c>
      <c r="U104" s="201"/>
      <c r="V104" s="226">
        <f>IF(C104="",NA(),IF(OR(C104="Smelter not listed",C104="Smelter not yet identified"),MATCH($B104&amp;$D104,'Smelter Look-up'!$J:$J,0),MATCH($B104&amp;$C104,'Smelter Look-up'!$J:$J,0)))</f>
        <v>473</v>
      </c>
      <c r="X104" s="227">
        <f t="shared" si="15"/>
        <v>0</v>
      </c>
      <c r="AB104" s="228" t="str">
        <f t="shared" si="16"/>
        <v>TinMetallic Resources, Inc.</v>
      </c>
    </row>
    <row r="105" spans="1:28" s="227" customFormat="1" ht="76.5">
      <c r="A105" s="181" t="s">
        <v>757</v>
      </c>
      <c r="B105" s="182" t="s">
        <v>1099</v>
      </c>
      <c r="C105" s="186" t="s">
        <v>756</v>
      </c>
      <c r="D105" s="230"/>
      <c r="E105" s="182" t="s">
        <v>859</v>
      </c>
      <c r="F105" s="182" t="s">
        <v>757</v>
      </c>
      <c r="G105" s="182" t="s">
        <v>13177</v>
      </c>
      <c r="H105" s="183">
        <v>0</v>
      </c>
      <c r="I105" s="184" t="s">
        <v>2292</v>
      </c>
      <c r="J105" s="184" t="s">
        <v>10972</v>
      </c>
      <c r="K105" s="224"/>
      <c r="L105" s="224"/>
      <c r="M105" s="224"/>
      <c r="N105" s="224"/>
      <c r="O105" s="224"/>
      <c r="P105" s="185"/>
      <c r="Q105" s="225" t="s">
        <v>15887</v>
      </c>
      <c r="R105" s="182" t="str">
        <f ca="1">IF(ISERROR($V105),"",OFFSET('Smelter Look-up'!$C$4,$V105-4,0)&amp;"")</f>
        <v>O.M. Manufacturing (Thailand) Co., Ltd.</v>
      </c>
      <c r="S105" s="181" t="str">
        <f t="shared" ca="1" si="14"/>
        <v>TH</v>
      </c>
      <c r="T105" s="181" t="str">
        <f ca="1">IF(B105="","",IF(ISERROR(MATCH($J105,SorP!$B$1:$B$6226,0)),"",INDIRECT("'SorP'!$A$"&amp;MATCH($S105&amp;$J105,SorP!C:C,0))))</f>
        <v>TH-20</v>
      </c>
      <c r="U105" s="201"/>
      <c r="V105" s="226">
        <f>IF(C105="",NA(),IF(OR(C105="Smelter not listed",C105="Smelter not yet identified"),MATCH($B105&amp;$D105,'Smelter Look-up'!$J:$J,0),MATCH($B105&amp;$C105,'Smelter Look-up'!$J:$J,0)))</f>
        <v>490</v>
      </c>
      <c r="X105" s="227">
        <f t="shared" si="15"/>
        <v>0</v>
      </c>
      <c r="AB105" s="228" t="str">
        <f t="shared" si="16"/>
        <v>TinO.M. Manufacturing (Thailand) Co., Ltd.</v>
      </c>
    </row>
    <row r="106" spans="1:28" s="227" customFormat="1" ht="51">
      <c r="A106" s="181" t="s">
        <v>15879</v>
      </c>
      <c r="B106" s="182" t="s">
        <v>1099</v>
      </c>
      <c r="C106" s="186" t="s">
        <v>15880</v>
      </c>
      <c r="D106" s="230"/>
      <c r="E106" s="182" t="s">
        <v>1074</v>
      </c>
      <c r="F106" s="182" t="s">
        <v>15879</v>
      </c>
      <c r="G106" s="182" t="s">
        <v>13177</v>
      </c>
      <c r="H106" s="183">
        <v>0</v>
      </c>
      <c r="I106" s="184" t="s">
        <v>14986</v>
      </c>
      <c r="J106" s="184" t="s">
        <v>12799</v>
      </c>
      <c r="K106" s="224"/>
      <c r="L106" s="224"/>
      <c r="M106" s="224"/>
      <c r="N106" s="224"/>
      <c r="O106" s="224"/>
      <c r="P106" s="185"/>
      <c r="Q106" s="225" t="s">
        <v>15887</v>
      </c>
      <c r="R106" s="182" t="str">
        <f ca="1">IF(ISERROR($V106),"",OFFSET('Smelter Look-up'!$C$4,$V106-4,0)&amp;"")</f>
        <v/>
      </c>
      <c r="S106" s="181" t="str">
        <f t="shared" ca="1" si="14"/>
        <v>ID</v>
      </c>
      <c r="T106" s="181" t="str">
        <f ca="1">IF(B106="","",IF(ISERROR(MATCH($J106,SorP!$B$1:$B$6226,0)),"",INDIRECT("'SorP'!$A$"&amp;MATCH($S106&amp;$J106,SorP!C:C,0))))</f>
        <v>ID-BB</v>
      </c>
      <c r="U106" s="201"/>
      <c r="V106" s="226" t="e">
        <f>IF(C106="",NA(),IF(OR(C106="Smelter not listed",C106="Smelter not yet identified"),MATCH($B106&amp;$D106,'Smelter Look-up'!$J:$J,0),MATCH($B106&amp;$C106,'Smelter Look-up'!$J:$J,0)))</f>
        <v>#N/A</v>
      </c>
      <c r="X106" s="227">
        <f t="shared" si="15"/>
        <v>0</v>
      </c>
      <c r="AB106" s="228" t="str">
        <f t="shared" si="16"/>
        <v>TinPT Tinindo Inter Nusa</v>
      </c>
    </row>
    <row r="107" spans="1:28" s="227" customFormat="1" ht="51">
      <c r="A107" s="181" t="s">
        <v>15888</v>
      </c>
      <c r="B107" s="182" t="s">
        <v>1099</v>
      </c>
      <c r="C107" s="186" t="s">
        <v>15889</v>
      </c>
      <c r="D107" s="230"/>
      <c r="E107" s="182" t="s">
        <v>1074</v>
      </c>
      <c r="F107" s="182" t="s">
        <v>15888</v>
      </c>
      <c r="G107" s="182" t="s">
        <v>13177</v>
      </c>
      <c r="H107" s="183">
        <v>0</v>
      </c>
      <c r="I107" s="184" t="s">
        <v>14986</v>
      </c>
      <c r="J107" s="184" t="s">
        <v>12799</v>
      </c>
      <c r="K107" s="224"/>
      <c r="L107" s="224"/>
      <c r="M107" s="224"/>
      <c r="N107" s="224"/>
      <c r="O107" s="224"/>
      <c r="P107" s="185"/>
      <c r="Q107" s="225" t="s">
        <v>15887</v>
      </c>
      <c r="R107" s="182" t="str">
        <f ca="1">IF(ISERROR($V107),"",OFFSET('Smelter Look-up'!$C$4,$V107-4,0)&amp;"")</f>
        <v/>
      </c>
      <c r="S107" s="181" t="str">
        <f t="shared" ca="1" si="14"/>
        <v>ID</v>
      </c>
      <c r="T107" s="181" t="str">
        <f ca="1">IF(B107="","",IF(ISERROR(MATCH($J107,SorP!$B$1:$B$6226,0)),"",INDIRECT("'SorP'!$A$"&amp;MATCH($S107&amp;$J107,SorP!C:C,0))))</f>
        <v>ID-BB</v>
      </c>
      <c r="U107" s="201"/>
      <c r="V107" s="226" t="e">
        <f>IF(C107="",NA(),IF(OR(C107="Smelter not listed",C107="Smelter not yet identified"),MATCH($B107&amp;$D107,'Smelter Look-up'!$J:$J,0),MATCH($B107&amp;$C107,'Smelter Look-up'!$J:$J,0)))</f>
        <v>#N/A</v>
      </c>
      <c r="X107" s="227">
        <f t="shared" si="15"/>
        <v>0</v>
      </c>
      <c r="AB107" s="228" t="str">
        <f t="shared" si="16"/>
        <v>TinCV Venus Inti Perkasa</v>
      </c>
    </row>
    <row r="108" spans="1:28" s="227" customFormat="1" ht="25.5">
      <c r="A108" s="181" t="s">
        <v>1772</v>
      </c>
      <c r="B108" s="182" t="s">
        <v>1099</v>
      </c>
      <c r="C108" s="186" t="s">
        <v>15851</v>
      </c>
      <c r="D108" s="230" t="s">
        <v>1099</v>
      </c>
      <c r="E108" s="182" t="s">
        <v>15852</v>
      </c>
      <c r="F108" s="182" t="s">
        <v>1772</v>
      </c>
      <c r="G108" s="182" t="s">
        <v>1074</v>
      </c>
      <c r="H108" s="183" t="s">
        <v>15851</v>
      </c>
      <c r="I108" s="184" t="s">
        <v>13177</v>
      </c>
      <c r="J108" s="184">
        <v>0</v>
      </c>
      <c r="K108" s="224" t="s">
        <v>1726</v>
      </c>
      <c r="L108" s="224" t="s">
        <v>12799</v>
      </c>
      <c r="M108" s="224"/>
      <c r="N108" s="224"/>
      <c r="O108" s="224"/>
      <c r="P108" s="185"/>
      <c r="Q108" s="225" t="s">
        <v>15887</v>
      </c>
      <c r="R108" s="182" t="str">
        <f ca="1">IF(ISERROR($V108),"",OFFSET('Smelter Look-up'!$C$4,$V108-4,0)&amp;"")</f>
        <v/>
      </c>
      <c r="S108" s="181" t="str">
        <f t="shared" ca="1" si="14"/>
        <v>Unknown</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si="15"/>
        <v>0</v>
      </c>
      <c r="AB108" s="228" t="str">
        <f t="shared" si="16"/>
        <v>TinCID001460</v>
      </c>
    </row>
    <row r="109" spans="1:28" s="227" customFormat="1" ht="25.5">
      <c r="A109" s="181" t="s">
        <v>745</v>
      </c>
      <c r="B109" s="182" t="s">
        <v>1099</v>
      </c>
      <c r="C109" s="186" t="s">
        <v>15862</v>
      </c>
      <c r="D109" s="230" t="s">
        <v>1099</v>
      </c>
      <c r="E109" s="182" t="s">
        <v>15863</v>
      </c>
      <c r="F109" s="182" t="s">
        <v>745</v>
      </c>
      <c r="G109" s="182" t="s">
        <v>1074</v>
      </c>
      <c r="H109" s="183" t="s">
        <v>15862</v>
      </c>
      <c r="I109" s="184" t="s">
        <v>13177</v>
      </c>
      <c r="J109" s="184">
        <v>0</v>
      </c>
      <c r="K109" s="224" t="s">
        <v>1726</v>
      </c>
      <c r="L109" s="224" t="s">
        <v>12799</v>
      </c>
      <c r="M109" s="224"/>
      <c r="N109" s="224"/>
      <c r="O109" s="224"/>
      <c r="P109" s="185"/>
      <c r="Q109" s="225" t="s">
        <v>15887</v>
      </c>
      <c r="R109" s="182" t="str">
        <f ca="1">IF(ISERROR($V109),"",OFFSET('Smelter Look-up'!$C$4,$V109-4,0)&amp;"")</f>
        <v/>
      </c>
      <c r="S109" s="181" t="str">
        <f t="shared" ca="1" si="14"/>
        <v>Unknown</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si="15"/>
        <v>0</v>
      </c>
      <c r="AB109" s="228" t="str">
        <f t="shared" si="16"/>
        <v>TinCID001399</v>
      </c>
    </row>
    <row r="110" spans="1:28" s="227" customFormat="1" ht="25.5">
      <c r="A110" s="181" t="s">
        <v>752</v>
      </c>
      <c r="B110" s="182" t="s">
        <v>1099</v>
      </c>
      <c r="C110" s="186" t="s">
        <v>759</v>
      </c>
      <c r="D110" s="230" t="s">
        <v>1099</v>
      </c>
      <c r="E110" s="182" t="s">
        <v>610</v>
      </c>
      <c r="F110" s="182" t="s">
        <v>752</v>
      </c>
      <c r="G110" s="182" t="s">
        <v>1074</v>
      </c>
      <c r="H110" s="183" t="s">
        <v>759</v>
      </c>
      <c r="I110" s="184" t="s">
        <v>13177</v>
      </c>
      <c r="J110" s="184">
        <v>0</v>
      </c>
      <c r="K110" s="224" t="s">
        <v>1726</v>
      </c>
      <c r="L110" s="224" t="s">
        <v>12799</v>
      </c>
      <c r="M110" s="224"/>
      <c r="N110" s="224"/>
      <c r="O110" s="224"/>
      <c r="P110" s="185"/>
      <c r="Q110" s="225" t="s">
        <v>15887</v>
      </c>
      <c r="R110" s="182" t="str">
        <f ca="1">IF(ISERROR($V110),"",OFFSET('Smelter Look-up'!$C$4,$V110-4,0)&amp;"")</f>
        <v/>
      </c>
      <c r="S110" s="181" t="str">
        <f t="shared" ca="1" si="14"/>
        <v>Unknown</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si="15"/>
        <v>0</v>
      </c>
      <c r="AB110" s="228" t="str">
        <f t="shared" si="16"/>
        <v>TinCID001453</v>
      </c>
    </row>
    <row r="111" spans="1:28" s="227" customFormat="1" ht="25.5">
      <c r="A111" s="181" t="s">
        <v>754</v>
      </c>
      <c r="B111" s="182" t="s">
        <v>1099</v>
      </c>
      <c r="C111" s="186" t="s">
        <v>777</v>
      </c>
      <c r="D111" s="230" t="s">
        <v>1099</v>
      </c>
      <c r="E111" s="182" t="s">
        <v>13714</v>
      </c>
      <c r="F111" s="182" t="s">
        <v>754</v>
      </c>
      <c r="G111" s="182" t="s">
        <v>1074</v>
      </c>
      <c r="H111" s="183" t="s">
        <v>777</v>
      </c>
      <c r="I111" s="184" t="s">
        <v>13177</v>
      </c>
      <c r="J111" s="184">
        <v>0</v>
      </c>
      <c r="K111" s="224" t="s">
        <v>1749</v>
      </c>
      <c r="L111" s="224" t="s">
        <v>6016</v>
      </c>
      <c r="M111" s="224"/>
      <c r="N111" s="224"/>
      <c r="O111" s="224"/>
      <c r="P111" s="185"/>
      <c r="Q111" s="225" t="s">
        <v>15887</v>
      </c>
      <c r="R111" s="182" t="str">
        <f ca="1">IF(ISERROR($V111),"",OFFSET('Smelter Look-up'!$C$4,$V111-4,0)&amp;"")</f>
        <v/>
      </c>
      <c r="S111" s="181" t="str">
        <f t="shared" ca="1" si="14"/>
        <v>Unknown</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si="15"/>
        <v>0</v>
      </c>
      <c r="AB111" s="228" t="str">
        <f t="shared" si="16"/>
        <v>TinCID001477</v>
      </c>
    </row>
    <row r="112" spans="1:28" s="227" customFormat="1" ht="25.5">
      <c r="A112" s="181" t="s">
        <v>758</v>
      </c>
      <c r="B112" s="182" t="s">
        <v>1099</v>
      </c>
      <c r="C112" s="186" t="s">
        <v>1772</v>
      </c>
      <c r="D112" s="230" t="s">
        <v>1099</v>
      </c>
      <c r="E112" s="182" t="s">
        <v>15341</v>
      </c>
      <c r="F112" s="182" t="s">
        <v>758</v>
      </c>
      <c r="G112" s="182" t="s">
        <v>1064</v>
      </c>
      <c r="H112" s="183" t="s">
        <v>1772</v>
      </c>
      <c r="I112" s="184" t="s">
        <v>13177</v>
      </c>
      <c r="J112" s="184">
        <v>0</v>
      </c>
      <c r="K112" s="224" t="s">
        <v>1773</v>
      </c>
      <c r="L112" s="224" t="s">
        <v>3104</v>
      </c>
      <c r="M112" s="224"/>
      <c r="N112" s="224"/>
      <c r="O112" s="224"/>
      <c r="P112" s="185"/>
      <c r="Q112" s="225" t="s">
        <v>15887</v>
      </c>
      <c r="R112" s="182" t="str">
        <f ca="1">IF(ISERROR($V112),"",OFFSET('Smelter Look-up'!$C$4,$V112-4,0)&amp;"")</f>
        <v/>
      </c>
      <c r="S112" s="181" t="str">
        <f t="shared" ca="1" si="14"/>
        <v>Unknown</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si="15"/>
        <v>0</v>
      </c>
      <c r="AB112" s="228" t="str">
        <f t="shared" si="16"/>
        <v>TinCID002773</v>
      </c>
    </row>
    <row r="113" spans="1:28" s="227" customFormat="1" ht="38.25">
      <c r="A113" s="181" t="s">
        <v>759</v>
      </c>
      <c r="B113" s="182" t="s">
        <v>1099</v>
      </c>
      <c r="C113" s="186" t="s">
        <v>745</v>
      </c>
      <c r="D113" s="230" t="s">
        <v>1099</v>
      </c>
      <c r="E113" s="182" t="s">
        <v>814</v>
      </c>
      <c r="F113" s="182" t="s">
        <v>759</v>
      </c>
      <c r="G113" s="182" t="s">
        <v>2382</v>
      </c>
      <c r="H113" s="183" t="s">
        <v>745</v>
      </c>
      <c r="I113" s="184" t="s">
        <v>13177</v>
      </c>
      <c r="J113" s="184">
        <v>0</v>
      </c>
      <c r="K113" s="224" t="s">
        <v>1728</v>
      </c>
      <c r="L113" s="224" t="s">
        <v>1728</v>
      </c>
      <c r="M113" s="224"/>
      <c r="N113" s="224"/>
      <c r="O113" s="224"/>
      <c r="P113" s="185"/>
      <c r="Q113" s="225" t="s">
        <v>15887</v>
      </c>
      <c r="R113" s="182" t="str">
        <f ca="1">IF(ISERROR($V113),"",OFFSET('Smelter Look-up'!$C$4,$V113-4,0)&amp;"")</f>
        <v/>
      </c>
      <c r="S113" s="181" t="str">
        <f t="shared" ca="1" si="14"/>
        <v>Unknown</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si="15"/>
        <v>0</v>
      </c>
      <c r="AB113" s="228" t="str">
        <f t="shared" si="16"/>
        <v>TinCID000438</v>
      </c>
    </row>
    <row r="114" spans="1:28" s="227" customFormat="1" ht="25.5">
      <c r="A114" s="181" t="s">
        <v>777</v>
      </c>
      <c r="B114" s="182" t="s">
        <v>1099</v>
      </c>
      <c r="C114" s="186" t="s">
        <v>15859</v>
      </c>
      <c r="D114" s="230" t="s">
        <v>1099</v>
      </c>
      <c r="E114" s="182" t="s">
        <v>15860</v>
      </c>
      <c r="F114" s="182" t="s">
        <v>777</v>
      </c>
      <c r="G114" s="182" t="s">
        <v>1074</v>
      </c>
      <c r="H114" s="183" t="s">
        <v>15859</v>
      </c>
      <c r="I114" s="184" t="s">
        <v>13177</v>
      </c>
      <c r="J114" s="184">
        <v>0</v>
      </c>
      <c r="K114" s="224" t="s">
        <v>15861</v>
      </c>
      <c r="L114" s="224" t="s">
        <v>12799</v>
      </c>
      <c r="M114" s="224"/>
      <c r="N114" s="224"/>
      <c r="O114" s="224"/>
      <c r="P114" s="185"/>
      <c r="Q114" s="225" t="s">
        <v>15887</v>
      </c>
      <c r="R114" s="182" t="str">
        <f ca="1">IF(ISERROR($V114),"",OFFSET('Smelter Look-up'!$C$4,$V114-4,0)&amp;"")</f>
        <v/>
      </c>
      <c r="S114" s="181" t="str">
        <f t="shared" ca="1" si="14"/>
        <v>Unknown</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si="15"/>
        <v>0</v>
      </c>
      <c r="AB114" s="228" t="str">
        <f t="shared" si="16"/>
        <v>TinCID000309</v>
      </c>
    </row>
    <row r="115" spans="1:28" s="227" customFormat="1" ht="25.5">
      <c r="A115" s="181" t="s">
        <v>760</v>
      </c>
      <c r="B115" s="182" t="s">
        <v>1099</v>
      </c>
      <c r="C115" s="186" t="s">
        <v>747</v>
      </c>
      <c r="D115" s="230" t="s">
        <v>1099</v>
      </c>
      <c r="E115" s="182" t="s">
        <v>788</v>
      </c>
      <c r="F115" s="182" t="s">
        <v>760</v>
      </c>
      <c r="G115" s="182" t="s">
        <v>853</v>
      </c>
      <c r="H115" s="183" t="s">
        <v>747</v>
      </c>
      <c r="I115" s="184" t="s">
        <v>13177</v>
      </c>
      <c r="J115" s="184">
        <v>0</v>
      </c>
      <c r="K115" s="224" t="s">
        <v>1730</v>
      </c>
      <c r="L115" s="224" t="s">
        <v>9448</v>
      </c>
      <c r="M115" s="224"/>
      <c r="N115" s="224"/>
      <c r="O115" s="224"/>
      <c r="P115" s="185"/>
      <c r="Q115" s="225" t="s">
        <v>15887</v>
      </c>
      <c r="R115" s="182" t="str">
        <f ca="1">IF(ISERROR($V115),"",OFFSET('Smelter Look-up'!$C$4,$V115-4,0)&amp;"")</f>
        <v/>
      </c>
      <c r="S115" s="181" t="str">
        <f t="shared" ca="1" si="14"/>
        <v>Unknown</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si="15"/>
        <v>0</v>
      </c>
      <c r="AB115" s="228" t="str">
        <f t="shared" si="16"/>
        <v>TinCID000468</v>
      </c>
    </row>
    <row r="116" spans="1:28" s="227" customFormat="1" ht="38.25">
      <c r="A116" s="181" t="s">
        <v>763</v>
      </c>
      <c r="B116" s="182" t="s">
        <v>1099</v>
      </c>
      <c r="C116" s="186" t="s">
        <v>748</v>
      </c>
      <c r="D116" s="230" t="s">
        <v>1099</v>
      </c>
      <c r="E116" s="182" t="s">
        <v>2099</v>
      </c>
      <c r="F116" s="182" t="s">
        <v>763</v>
      </c>
      <c r="G116" s="182" t="s">
        <v>1069</v>
      </c>
      <c r="H116" s="183" t="s">
        <v>748</v>
      </c>
      <c r="I116" s="184" t="s">
        <v>13177</v>
      </c>
      <c r="J116" s="184">
        <v>0</v>
      </c>
      <c r="K116" s="224" t="s">
        <v>2398</v>
      </c>
      <c r="L116" s="224" t="s">
        <v>13540</v>
      </c>
      <c r="M116" s="224"/>
      <c r="N116" s="224"/>
      <c r="O116" s="224"/>
      <c r="P116" s="185"/>
      <c r="Q116" s="225" t="s">
        <v>15887</v>
      </c>
      <c r="R116" s="182" t="str">
        <f ca="1">IF(ISERROR($V116),"",OFFSET('Smelter Look-up'!$C$4,$V116-4,0)&amp;"")</f>
        <v/>
      </c>
      <c r="S116" s="181" t="str">
        <f t="shared" ca="1" si="14"/>
        <v>Unknown</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si="15"/>
        <v>0</v>
      </c>
      <c r="AB116" s="228" t="str">
        <f t="shared" si="16"/>
        <v>TinCID000538</v>
      </c>
    </row>
    <row r="117" spans="1:28" s="227" customFormat="1" ht="38.25">
      <c r="A117" s="181" t="s">
        <v>766</v>
      </c>
      <c r="B117" s="182" t="s">
        <v>1099</v>
      </c>
      <c r="C117" s="186" t="s">
        <v>1740</v>
      </c>
      <c r="D117" s="230" t="s">
        <v>1099</v>
      </c>
      <c r="E117" s="182" t="s">
        <v>2104</v>
      </c>
      <c r="F117" s="182" t="s">
        <v>766</v>
      </c>
      <c r="G117" s="182" t="s">
        <v>2384</v>
      </c>
      <c r="H117" s="183" t="s">
        <v>1740</v>
      </c>
      <c r="I117" s="184" t="s">
        <v>13177</v>
      </c>
      <c r="J117" s="184">
        <v>0</v>
      </c>
      <c r="K117" s="224" t="s">
        <v>1741</v>
      </c>
      <c r="L117" s="224" t="s">
        <v>1601</v>
      </c>
      <c r="M117" s="224"/>
      <c r="N117" s="224"/>
      <c r="O117" s="224"/>
      <c r="P117" s="185"/>
      <c r="Q117" s="225" t="s">
        <v>15887</v>
      </c>
      <c r="R117" s="182" t="str">
        <f ca="1">IF(ISERROR($V117),"",OFFSET('Smelter Look-up'!$C$4,$V117-4,0)&amp;"")</f>
        <v/>
      </c>
      <c r="S117" s="181" t="str">
        <f t="shared" ca="1" si="14"/>
        <v>Unknown</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si="15"/>
        <v>0</v>
      </c>
      <c r="AB117" s="228" t="str">
        <f t="shared" si="16"/>
        <v>TinCID001142</v>
      </c>
    </row>
    <row r="118" spans="1:28" s="227" customFormat="1" ht="25.5">
      <c r="A118" s="181" t="s">
        <v>1772</v>
      </c>
      <c r="B118" s="182" t="s">
        <v>1099</v>
      </c>
      <c r="C118" s="186" t="s">
        <v>757</v>
      </c>
      <c r="D118" s="230" t="s">
        <v>1099</v>
      </c>
      <c r="E118" s="182" t="s">
        <v>756</v>
      </c>
      <c r="F118" s="182" t="s">
        <v>1772</v>
      </c>
      <c r="G118" s="182" t="s">
        <v>859</v>
      </c>
      <c r="H118" s="183" t="s">
        <v>757</v>
      </c>
      <c r="I118" s="184" t="s">
        <v>13177</v>
      </c>
      <c r="J118" s="184">
        <v>0</v>
      </c>
      <c r="K118" s="224" t="s">
        <v>2292</v>
      </c>
      <c r="L118" s="224" t="s">
        <v>10972</v>
      </c>
      <c r="M118" s="224"/>
      <c r="N118" s="224"/>
      <c r="O118" s="224"/>
      <c r="P118" s="185"/>
      <c r="Q118" s="225" t="s">
        <v>15887</v>
      </c>
      <c r="R118" s="182" t="str">
        <f ca="1">IF(ISERROR($V118),"",OFFSET('Smelter Look-up'!$C$4,$V118-4,0)&amp;"")</f>
        <v/>
      </c>
      <c r="S118" s="181" t="str">
        <f t="shared" ca="1" si="14"/>
        <v>Unknown</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si="15"/>
        <v>0</v>
      </c>
      <c r="AB118" s="228" t="str">
        <f t="shared" si="16"/>
        <v>TinCID001314</v>
      </c>
    </row>
    <row r="119" spans="1:28" s="227" customFormat="1" ht="25.5">
      <c r="A119" s="181" t="s">
        <v>13122</v>
      </c>
      <c r="B119" s="182" t="s">
        <v>1099</v>
      </c>
      <c r="C119" s="186" t="s">
        <v>15879</v>
      </c>
      <c r="D119" s="230" t="s">
        <v>1099</v>
      </c>
      <c r="E119" s="182" t="s">
        <v>15880</v>
      </c>
      <c r="F119" s="182" t="s">
        <v>13122</v>
      </c>
      <c r="G119" s="182" t="s">
        <v>1074</v>
      </c>
      <c r="H119" s="183" t="s">
        <v>15879</v>
      </c>
      <c r="I119" s="184" t="s">
        <v>13177</v>
      </c>
      <c r="J119" s="184">
        <v>0</v>
      </c>
      <c r="K119" s="224" t="s">
        <v>14986</v>
      </c>
      <c r="L119" s="224" t="s">
        <v>12799</v>
      </c>
      <c r="M119" s="224"/>
      <c r="N119" s="224"/>
      <c r="O119" s="224"/>
      <c r="P119" s="185"/>
      <c r="Q119" s="225" t="s">
        <v>15887</v>
      </c>
      <c r="R119" s="182" t="str">
        <f ca="1">IF(ISERROR($V119),"",OFFSET('Smelter Look-up'!$C$4,$V119-4,0)&amp;"")</f>
        <v/>
      </c>
      <c r="S119" s="181" t="str">
        <f t="shared" ca="1" si="14"/>
        <v>Unknown</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si="15"/>
        <v>0</v>
      </c>
      <c r="AB119" s="228" t="str">
        <f t="shared" si="16"/>
        <v>TinCID001490</v>
      </c>
    </row>
    <row r="120" spans="1:28" s="227" customFormat="1" ht="25.5">
      <c r="A120" s="181" t="s">
        <v>15310</v>
      </c>
      <c r="B120" s="182" t="s">
        <v>1099</v>
      </c>
      <c r="C120" s="186" t="s">
        <v>15888</v>
      </c>
      <c r="D120" s="230" t="s">
        <v>1099</v>
      </c>
      <c r="E120" s="182" t="s">
        <v>15889</v>
      </c>
      <c r="F120" s="182" t="s">
        <v>15310</v>
      </c>
      <c r="G120" s="182" t="s">
        <v>1074</v>
      </c>
      <c r="H120" s="183" t="s">
        <v>15888</v>
      </c>
      <c r="I120" s="184" t="s">
        <v>13177</v>
      </c>
      <c r="J120" s="184">
        <v>0</v>
      </c>
      <c r="K120" s="224" t="s">
        <v>14986</v>
      </c>
      <c r="L120" s="224" t="s">
        <v>12799</v>
      </c>
      <c r="M120" s="224"/>
      <c r="N120" s="224"/>
      <c r="O120" s="224"/>
      <c r="P120" s="185"/>
      <c r="Q120" s="225" t="s">
        <v>15887</v>
      </c>
      <c r="R120" s="182" t="str">
        <f ca="1">IF(ISERROR($V120),"",OFFSET('Smelter Look-up'!$C$4,$V120-4,0)&amp;"")</f>
        <v/>
      </c>
      <c r="S120" s="181" t="str">
        <f t="shared" ca="1" si="14"/>
        <v>Unknown</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si="15"/>
        <v>0</v>
      </c>
      <c r="AB120" s="228" t="str">
        <f t="shared" si="16"/>
        <v>TinCID002455</v>
      </c>
    </row>
    <row r="121" spans="1:28" s="227" customFormat="1" ht="76.5">
      <c r="A121" s="181" t="s">
        <v>752</v>
      </c>
      <c r="B121" s="182" t="s">
        <v>1099</v>
      </c>
      <c r="C121" s="186" t="s">
        <v>793</v>
      </c>
      <c r="D121" s="230"/>
      <c r="E121" s="182" t="s">
        <v>1084</v>
      </c>
      <c r="F121" s="182" t="s">
        <v>752</v>
      </c>
      <c r="G121" s="182" t="s">
        <v>13177</v>
      </c>
      <c r="H121" s="183">
        <v>0</v>
      </c>
      <c r="I121" s="184" t="s">
        <v>1739</v>
      </c>
      <c r="J121" s="184" t="s">
        <v>8635</v>
      </c>
      <c r="K121" s="224"/>
      <c r="L121" s="224"/>
      <c r="M121" s="224"/>
      <c r="N121" s="224"/>
      <c r="O121" s="224"/>
      <c r="P121" s="185"/>
      <c r="Q121" s="225" t="s">
        <v>15887</v>
      </c>
      <c r="R121" s="182" t="str">
        <f ca="1">IF(ISERROR($V121),"",OFFSET('Smelter Look-up'!$C$4,$V121-4,0)&amp;"")</f>
        <v>Malaysia Smelting Corporation (MSC)</v>
      </c>
      <c r="S121" s="181" t="str">
        <f t="shared" ca="1" si="14"/>
        <v>MY</v>
      </c>
      <c r="T121" s="181" t="str">
        <f ca="1">IF(B121="","",IF(ISERROR(MATCH($J121,SorP!$B$1:$B$6226,0)),"",INDIRECT("'SorP'!$A$"&amp;MATCH($S121&amp;$J121,SorP!C:C,0))))</f>
        <v>MY-07</v>
      </c>
      <c r="U121" s="201"/>
      <c r="V121" s="226">
        <f>IF(C121="",NA(),IF(OR(C121="Smelter not listed",C121="Smelter not yet identified"),MATCH($B121&amp;$D121,'Smelter Look-up'!$J:$J,0),MATCH($B121&amp;$C121,'Smelter Look-up'!$J:$J,0)))</f>
        <v>468</v>
      </c>
      <c r="X121" s="227">
        <f t="shared" si="15"/>
        <v>0</v>
      </c>
      <c r="AB121" s="228" t="str">
        <f t="shared" si="16"/>
        <v>TinMalaysia Smelting Corporation (MSC)</v>
      </c>
    </row>
    <row r="122" spans="1:28" s="227" customFormat="1" ht="51">
      <c r="A122" s="181" t="s">
        <v>15851</v>
      </c>
      <c r="B122" s="182" t="s">
        <v>1099</v>
      </c>
      <c r="C122" s="186" t="s">
        <v>15852</v>
      </c>
      <c r="D122" s="230"/>
      <c r="E122" s="182" t="s">
        <v>1074</v>
      </c>
      <c r="F122" s="182" t="s">
        <v>15851</v>
      </c>
      <c r="G122" s="182" t="s">
        <v>13177</v>
      </c>
      <c r="H122" s="183">
        <v>0</v>
      </c>
      <c r="I122" s="184" t="s">
        <v>1726</v>
      </c>
      <c r="J122" s="184" t="s">
        <v>12799</v>
      </c>
      <c r="K122" s="224"/>
      <c r="L122" s="224"/>
      <c r="M122" s="224"/>
      <c r="N122" s="224"/>
      <c r="O122" s="224"/>
      <c r="P122" s="185"/>
      <c r="Q122" s="225" t="s">
        <v>15887</v>
      </c>
      <c r="R122" s="182" t="str">
        <f ca="1">IF(ISERROR($V122),"",OFFSET('Smelter Look-up'!$C$4,$V122-4,0)&amp;"")</f>
        <v/>
      </c>
      <c r="S122" s="181" t="str">
        <f t="shared" ca="1" si="14"/>
        <v>ID</v>
      </c>
      <c r="T122" s="181" t="str">
        <f ca="1">IF(B122="","",IF(ISERROR(MATCH($J122,SorP!$B$1:$B$6226,0)),"",INDIRECT("'SorP'!$A$"&amp;MATCH($S122&amp;$J122,SorP!C:C,0))))</f>
        <v>ID-BB</v>
      </c>
      <c r="U122" s="201"/>
      <c r="V122" s="226" t="e">
        <f>IF(C122="",NA(),IF(OR(C122="Smelter not listed",C122="Smelter not yet identified"),MATCH($B122&amp;$D122,'Smelter Look-up'!$J:$J,0),MATCH($B122&amp;$C122,'Smelter Look-up'!$J:$J,0)))</f>
        <v>#N/A</v>
      </c>
      <c r="X122" s="227">
        <f t="shared" si="15"/>
        <v>0</v>
      </c>
      <c r="AB122" s="228" t="str">
        <f t="shared" si="16"/>
        <v>TinPT Refined Bangka Tin</v>
      </c>
    </row>
    <row r="123" spans="1:28" s="227" customFormat="1" ht="51">
      <c r="A123" s="181" t="s">
        <v>760</v>
      </c>
      <c r="B123" s="182" t="s">
        <v>1099</v>
      </c>
      <c r="C123" s="186" t="s">
        <v>13713</v>
      </c>
      <c r="D123" s="230"/>
      <c r="E123" s="182" t="s">
        <v>1074</v>
      </c>
      <c r="F123" s="182" t="s">
        <v>760</v>
      </c>
      <c r="G123" s="182" t="s">
        <v>13177</v>
      </c>
      <c r="H123" s="183">
        <v>0</v>
      </c>
      <c r="I123" s="184" t="s">
        <v>1751</v>
      </c>
      <c r="J123" s="184" t="s">
        <v>12799</v>
      </c>
      <c r="K123" s="224"/>
      <c r="L123" s="224"/>
      <c r="M123" s="224"/>
      <c r="N123" s="224"/>
      <c r="O123" s="224"/>
      <c r="P123" s="185"/>
      <c r="Q123" s="225" t="s">
        <v>15887</v>
      </c>
      <c r="R123" s="182" t="str">
        <f ca="1">IF(ISERROR($V123),"",OFFSET('Smelter Look-up'!$C$4,$V123-4,0)&amp;"")</f>
        <v>PT Timah Tbk Mentok</v>
      </c>
      <c r="S123" s="181" t="str">
        <f t="shared" ca="1" si="14"/>
        <v>ID</v>
      </c>
      <c r="T123" s="181" t="str">
        <f ca="1">IF(B123="","",IF(ISERROR(MATCH($J123,SorP!$B$1:$B$6226,0)),"",INDIRECT("'SorP'!$A$"&amp;MATCH($S123&amp;$J123,SorP!C:C,0))))</f>
        <v>ID-BB</v>
      </c>
      <c r="U123" s="201"/>
      <c r="V123" s="226">
        <f>IF(C123="",NA(),IF(OR(C123="Smelter not listed",C123="Smelter not yet identified"),MATCH($B123&amp;$D123,'Smelter Look-up'!$J:$J,0),MATCH($B123&amp;$C123,'Smelter Look-up'!$J:$J,0)))</f>
        <v>510</v>
      </c>
      <c r="X123" s="227">
        <f t="shared" si="15"/>
        <v>0</v>
      </c>
      <c r="AB123" s="228" t="str">
        <f t="shared" si="16"/>
        <v>TinPT Timah Tbk Mentok</v>
      </c>
    </row>
    <row r="124" spans="1:28" s="227" customFormat="1" ht="102">
      <c r="A124" s="181" t="s">
        <v>2230</v>
      </c>
      <c r="B124" s="182" t="s">
        <v>1099</v>
      </c>
      <c r="C124" s="186" t="s">
        <v>2287</v>
      </c>
      <c r="D124" s="230"/>
      <c r="E124" s="182" t="s">
        <v>1069</v>
      </c>
      <c r="F124" s="182" t="s">
        <v>2230</v>
      </c>
      <c r="G124" s="182" t="s">
        <v>13177</v>
      </c>
      <c r="H124" s="183">
        <v>0</v>
      </c>
      <c r="I124" s="184" t="s">
        <v>1733</v>
      </c>
      <c r="J124" s="184" t="s">
        <v>13535</v>
      </c>
      <c r="K124" s="224"/>
      <c r="L124" s="224"/>
      <c r="M124" s="224"/>
      <c r="N124" s="224"/>
      <c r="O124" s="224"/>
      <c r="P124" s="185"/>
      <c r="Q124" s="225" t="s">
        <v>15887</v>
      </c>
      <c r="R124" s="182" t="str">
        <f ca="1">IF(ISERROR($V124),"",OFFSET('Smelter Look-up'!$C$4,$V124-4,0)&amp;"")</f>
        <v>Chenzhou Yunxiang Mining and Metallurgy Co., Ltd.</v>
      </c>
      <c r="S124" s="181" t="str">
        <f t="shared" ca="1" si="14"/>
        <v>CN</v>
      </c>
      <c r="T124" s="181" t="str">
        <f ca="1">IF(B124="","",IF(ISERROR(MATCH($J124,SorP!$B$1:$B$6226,0)),"",INDIRECT("'SorP'!$A$"&amp;MATCH($S124&amp;$J124,SorP!C:C,0))))</f>
        <v>CN-HN</v>
      </c>
      <c r="U124" s="201"/>
      <c r="V124" s="226">
        <f>IF(C124="",NA(),IF(OR(C124="Smelter not listed",C124="Smelter not yet identified"),MATCH($B124&amp;$D124,'Smelter Look-up'!$J:$J,0),MATCH($B124&amp;$C124,'Smelter Look-up'!$J:$J,0)))</f>
        <v>408</v>
      </c>
      <c r="X124" s="227">
        <f t="shared" si="15"/>
        <v>0</v>
      </c>
      <c r="AB124" s="228" t="str">
        <f t="shared" si="16"/>
        <v>TinChenzhou Yunxiang Mining and Metallurgy Co., Ltd.</v>
      </c>
    </row>
    <row r="125" spans="1:28" s="227" customFormat="1" ht="102">
      <c r="A125" s="181" t="s">
        <v>765</v>
      </c>
      <c r="B125" s="182" t="s">
        <v>1099</v>
      </c>
      <c r="C125" s="186" t="s">
        <v>2120</v>
      </c>
      <c r="D125" s="230"/>
      <c r="E125" s="182" t="s">
        <v>1069</v>
      </c>
      <c r="F125" s="182" t="s">
        <v>765</v>
      </c>
      <c r="G125" s="182" t="s">
        <v>13177</v>
      </c>
      <c r="H125" s="183">
        <v>0</v>
      </c>
      <c r="I125" s="184" t="s">
        <v>2398</v>
      </c>
      <c r="J125" s="184" t="s">
        <v>13540</v>
      </c>
      <c r="K125" s="224"/>
      <c r="L125" s="224"/>
      <c r="M125" s="224"/>
      <c r="N125" s="224"/>
      <c r="O125" s="224"/>
      <c r="P125" s="185"/>
      <c r="Q125" s="225" t="s">
        <v>15887</v>
      </c>
      <c r="R125" s="182" t="str">
        <f ca="1">IF(ISERROR($V125),"",OFFSET('Smelter Look-up'!$C$4,$V125-4,0)&amp;"")</f>
        <v>Yunnan Chengfeng Non-ferrous Metals Co., Ltd.</v>
      </c>
      <c r="S125" s="181" t="str">
        <f t="shared" ca="1" si="14"/>
        <v>CN</v>
      </c>
      <c r="T125" s="181" t="str">
        <f ca="1">IF(B125="","",IF(ISERROR(MATCH($J125,SorP!$B$1:$B$6226,0)),"",INDIRECT("'SorP'!$A$"&amp;MATCH($S125&amp;$J125,SorP!C:C,0))))</f>
        <v>CN-YN</v>
      </c>
      <c r="U125" s="201"/>
      <c r="V125" s="226">
        <f>IF(C125="",NA(),IF(OR(C125="Smelter not listed",C125="Smelter not yet identified"),MATCH($B125&amp;$D125,'Smelter Look-up'!$J:$J,0),MATCH($B125&amp;$C125,'Smelter Look-up'!$J:$J,0)))</f>
        <v>539</v>
      </c>
      <c r="X125" s="227">
        <f t="shared" si="15"/>
        <v>0</v>
      </c>
      <c r="AB125" s="228" t="str">
        <f t="shared" si="16"/>
        <v>TinYunnan Chengfeng Non-ferrous Metals Co., Ltd.</v>
      </c>
    </row>
    <row r="126" spans="1:28" s="227" customFormat="1" ht="25.5">
      <c r="A126" s="181" t="s">
        <v>763</v>
      </c>
      <c r="B126" s="182" t="s">
        <v>1099</v>
      </c>
      <c r="C126" s="186" t="s">
        <v>1000</v>
      </c>
      <c r="D126" s="230"/>
      <c r="E126" s="182" t="s">
        <v>859</v>
      </c>
      <c r="F126" s="182" t="s">
        <v>763</v>
      </c>
      <c r="G126" s="182" t="s">
        <v>13177</v>
      </c>
      <c r="H126" s="183">
        <v>0</v>
      </c>
      <c r="I126" s="184" t="s">
        <v>1752</v>
      </c>
      <c r="J126" s="184" t="s">
        <v>1753</v>
      </c>
      <c r="K126" s="224"/>
      <c r="L126" s="224"/>
      <c r="M126" s="224"/>
      <c r="N126" s="224"/>
      <c r="O126" s="224"/>
      <c r="P126" s="185"/>
      <c r="Q126" s="225" t="s">
        <v>15887</v>
      </c>
      <c r="R126" s="182" t="str">
        <f ca="1">IF(ISERROR($V126),"",OFFSET('Smelter Look-up'!$C$4,$V126-4,0)&amp;"")</f>
        <v>Thaisarco</v>
      </c>
      <c r="S126" s="181" t="str">
        <f t="shared" ca="1" si="14"/>
        <v>TH</v>
      </c>
      <c r="T126" s="181" t="str">
        <f ca="1">IF(B126="","",IF(ISERROR(MATCH($J126,SorP!$B$1:$B$6226,0)),"",INDIRECT("'SorP'!$A$"&amp;MATCH($S126&amp;$J126,SorP!C:C,0))))</f>
        <v>TH-83</v>
      </c>
      <c r="U126" s="201"/>
      <c r="V126" s="226">
        <f>IF(C126="",NA(),IF(OR(C126="Smelter not listed",C126="Smelter not yet identified"),MATCH($B126&amp;$D126,'Smelter Look-up'!$J:$J,0),MATCH($B126&amp;$C126,'Smelter Look-up'!$J:$J,0)))</f>
        <v>521</v>
      </c>
      <c r="X126" s="227">
        <f t="shared" si="15"/>
        <v>0</v>
      </c>
      <c r="AB126" s="228" t="str">
        <f t="shared" si="16"/>
        <v>TinThaisarco</v>
      </c>
    </row>
    <row r="127" spans="1:28" s="227" customFormat="1" ht="63.75">
      <c r="A127" s="181" t="s">
        <v>1368</v>
      </c>
      <c r="B127" s="182" t="s">
        <v>1099</v>
      </c>
      <c r="C127" s="186" t="s">
        <v>1367</v>
      </c>
      <c r="D127" s="230"/>
      <c r="E127" s="182" t="s">
        <v>1074</v>
      </c>
      <c r="F127" s="182" t="s">
        <v>1368</v>
      </c>
      <c r="G127" s="182" t="s">
        <v>13177</v>
      </c>
      <c r="H127" s="183">
        <v>0</v>
      </c>
      <c r="I127" s="184" t="s">
        <v>1726</v>
      </c>
      <c r="J127" s="184" t="s">
        <v>12799</v>
      </c>
      <c r="K127" s="224"/>
      <c r="L127" s="224"/>
      <c r="M127" s="224"/>
      <c r="N127" s="224"/>
      <c r="O127" s="224"/>
      <c r="P127" s="185"/>
      <c r="Q127" s="225" t="s">
        <v>15887</v>
      </c>
      <c r="R127" s="182" t="str">
        <f ca="1">IF(ISERROR($V127),"",OFFSET('Smelter Look-up'!$C$4,$V127-4,0)&amp;"")</f>
        <v>PT ATD Makmur Mandiri Jaya</v>
      </c>
      <c r="S127" s="181" t="str">
        <f t="shared" ca="1" si="14"/>
        <v>ID</v>
      </c>
      <c r="T127" s="181" t="str">
        <f ca="1">IF(B127="","",IF(ISERROR(MATCH($J127,SorP!$B$1:$B$6226,0)),"",INDIRECT("'SorP'!$A$"&amp;MATCH($S127&amp;$J127,SorP!C:C,0))))</f>
        <v>ID-BB</v>
      </c>
      <c r="U127" s="201"/>
      <c r="V127" s="226">
        <f>IF(C127="",NA(),IF(OR(C127="Smelter not listed",C127="Smelter not yet identified"),MATCH($B127&amp;$D127,'Smelter Look-up'!$J:$J,0),MATCH($B127&amp;$C127,'Smelter Look-up'!$J:$J,0)))</f>
        <v>499</v>
      </c>
      <c r="X127" s="227">
        <f t="shared" si="15"/>
        <v>0</v>
      </c>
      <c r="AB127" s="228" t="str">
        <f t="shared" si="16"/>
        <v>TinPT ATD Makmur Mandiri Jaya</v>
      </c>
    </row>
    <row r="128" spans="1:28" s="227" customFormat="1" ht="63.75">
      <c r="A128" s="181" t="s">
        <v>15867</v>
      </c>
      <c r="B128" s="182" t="s">
        <v>1099</v>
      </c>
      <c r="C128" s="186" t="s">
        <v>15868</v>
      </c>
      <c r="D128" s="230"/>
      <c r="E128" s="182" t="s">
        <v>1074</v>
      </c>
      <c r="F128" s="182" t="s">
        <v>15867</v>
      </c>
      <c r="G128" s="182" t="s">
        <v>13177</v>
      </c>
      <c r="H128" s="183">
        <v>0</v>
      </c>
      <c r="I128" s="184" t="s">
        <v>15869</v>
      </c>
      <c r="J128" s="184" t="s">
        <v>12799</v>
      </c>
      <c r="K128" s="224"/>
      <c r="L128" s="224"/>
      <c r="M128" s="224"/>
      <c r="N128" s="224"/>
      <c r="O128" s="224"/>
      <c r="P128" s="185"/>
      <c r="Q128" s="225" t="s">
        <v>15887</v>
      </c>
      <c r="R128" s="182" t="str">
        <f ca="1">IF(ISERROR($V128),"",OFFSET('Smelter Look-up'!$C$4,$V128-4,0)&amp;"")</f>
        <v/>
      </c>
      <c r="S128" s="181" t="str">
        <f t="shared" ca="1" si="14"/>
        <v>ID</v>
      </c>
      <c r="T128" s="181" t="str">
        <f ca="1">IF(B128="","",IF(ISERROR(MATCH($J128,SorP!$B$1:$B$6226,0)),"",INDIRECT("'SorP'!$A$"&amp;MATCH($S128&amp;$J128,SorP!C:C,0))))</f>
        <v>ID-BB</v>
      </c>
      <c r="U128" s="201"/>
      <c r="V128" s="226" t="e">
        <f>IF(C128="",NA(),IF(OR(C128="Smelter not listed",C128="Smelter not yet identified"),MATCH($B128&amp;$D128,'Smelter Look-up'!$J:$J,0),MATCH($B128&amp;$C128,'Smelter Look-up'!$J:$J,0)))</f>
        <v>#N/A</v>
      </c>
      <c r="X128" s="227">
        <f t="shared" si="15"/>
        <v>0</v>
      </c>
      <c r="AB128" s="228" t="str">
        <f t="shared" si="16"/>
        <v>TinPT Babel Surya Alam Lestari</v>
      </c>
    </row>
    <row r="129" spans="1:28" s="227" customFormat="1" ht="63.75">
      <c r="A129" s="181" t="s">
        <v>15845</v>
      </c>
      <c r="B129" s="182" t="s">
        <v>1099</v>
      </c>
      <c r="C129" s="186" t="s">
        <v>15846</v>
      </c>
      <c r="D129" s="230"/>
      <c r="E129" s="182" t="s">
        <v>1074</v>
      </c>
      <c r="F129" s="182" t="s">
        <v>15845</v>
      </c>
      <c r="G129" s="182" t="s">
        <v>13177</v>
      </c>
      <c r="H129" s="183">
        <v>0</v>
      </c>
      <c r="I129" s="184" t="s">
        <v>14986</v>
      </c>
      <c r="J129" s="184" t="s">
        <v>12799</v>
      </c>
      <c r="K129" s="224"/>
      <c r="L129" s="224"/>
      <c r="M129" s="224"/>
      <c r="N129" s="224"/>
      <c r="O129" s="224"/>
      <c r="P129" s="185"/>
      <c r="Q129" s="225" t="s">
        <v>15887</v>
      </c>
      <c r="R129" s="182" t="str">
        <f ca="1">IF(ISERROR($V129),"",OFFSET('Smelter Look-up'!$C$4,$V129-4,0)&amp;"")</f>
        <v/>
      </c>
      <c r="S129" s="181" t="str">
        <f t="shared" ca="1" si="14"/>
        <v>ID</v>
      </c>
      <c r="T129" s="181" t="str">
        <f ca="1">IF(B129="","",IF(ISERROR(MATCH($J129,SorP!$B$1:$B$6226,0)),"",INDIRECT("'SorP'!$A$"&amp;MATCH($S129&amp;$J129,SorP!C:C,0))))</f>
        <v>ID-BB</v>
      </c>
      <c r="U129" s="201"/>
      <c r="V129" s="226" t="e">
        <f>IF(C129="",NA(),IF(OR(C129="Smelter not listed",C129="Smelter not yet identified"),MATCH($B129&amp;$D129,'Smelter Look-up'!$J:$J,0),MATCH($B129&amp;$C129,'Smelter Look-up'!$J:$J,0)))</f>
        <v>#N/A</v>
      </c>
      <c r="X129" s="227">
        <f t="shared" si="15"/>
        <v>0</v>
      </c>
      <c r="AB129" s="228" t="str">
        <f t="shared" si="16"/>
        <v>TinPT Sariwiguna Binasentosa</v>
      </c>
    </row>
    <row r="130" spans="1:28" s="227" customFormat="1" ht="38.25">
      <c r="A130" s="181" t="s">
        <v>1772</v>
      </c>
      <c r="B130" s="182" t="s">
        <v>1099</v>
      </c>
      <c r="C130" s="186" t="s">
        <v>15341</v>
      </c>
      <c r="D130" s="230"/>
      <c r="E130" s="182" t="s">
        <v>1064</v>
      </c>
      <c r="F130" s="182" t="s">
        <v>1772</v>
      </c>
      <c r="G130" s="182" t="s">
        <v>13177</v>
      </c>
      <c r="H130" s="183">
        <v>0</v>
      </c>
      <c r="I130" s="184" t="s">
        <v>1773</v>
      </c>
      <c r="J130" s="184" t="s">
        <v>3104</v>
      </c>
      <c r="K130" s="224"/>
      <c r="L130" s="224"/>
      <c r="M130" s="224"/>
      <c r="N130" s="224"/>
      <c r="O130" s="224"/>
      <c r="P130" s="185"/>
      <c r="Q130" s="225" t="s">
        <v>15887</v>
      </c>
      <c r="R130" s="182" t="str">
        <f ca="1">IF(ISERROR($V130),"",OFFSET('Smelter Look-up'!$C$4,$V130-4,0)&amp;"")</f>
        <v>Aurubis Beerse</v>
      </c>
      <c r="S130" s="181" t="str">
        <f t="shared" ca="1" si="14"/>
        <v>BE</v>
      </c>
      <c r="T130" s="181" t="str">
        <f ca="1">IF(B130="","",IF(ISERROR(MATCH($J130,SorP!$B$1:$B$6226,0)),"",INDIRECT("'SorP'!$A$"&amp;MATCH($S130&amp;$J130,SorP!C:C,0))))</f>
        <v>BE-VAN</v>
      </c>
      <c r="U130" s="201"/>
      <c r="V130" s="226">
        <f>IF(C130="",NA(),IF(OR(C130="Smelter not listed",C130="Smelter not yet identified"),MATCH($B130&amp;$D130,'Smelter Look-up'!$J:$J,0),MATCH($B130&amp;$C130,'Smelter Look-up'!$J:$J,0)))</f>
        <v>404</v>
      </c>
      <c r="X130" s="227">
        <f t="shared" si="15"/>
        <v>0</v>
      </c>
      <c r="AB130" s="228" t="str">
        <f t="shared" si="16"/>
        <v>TinAurubis Beerse</v>
      </c>
    </row>
    <row r="131" spans="1:28" s="227" customFormat="1" ht="63.75">
      <c r="A131" s="181" t="s">
        <v>751</v>
      </c>
      <c r="B131" s="182" t="s">
        <v>1099</v>
      </c>
      <c r="C131" s="186" t="s">
        <v>1293</v>
      </c>
      <c r="D131" s="230"/>
      <c r="E131" s="182" t="s">
        <v>1069</v>
      </c>
      <c r="F131" s="182" t="s">
        <v>751</v>
      </c>
      <c r="G131" s="182" t="s">
        <v>13177</v>
      </c>
      <c r="H131" s="183">
        <v>0</v>
      </c>
      <c r="I131" s="184" t="s">
        <v>1734</v>
      </c>
      <c r="J131" s="184" t="s">
        <v>13515</v>
      </c>
      <c r="K131" s="224"/>
      <c r="L131" s="224"/>
      <c r="M131" s="224"/>
      <c r="N131" s="224"/>
      <c r="O131" s="224"/>
      <c r="P131" s="185"/>
      <c r="Q131" s="225" t="s">
        <v>15887</v>
      </c>
      <c r="R131" s="182" t="str">
        <f ca="1">IF(ISERROR($V131),"",OFFSET('Smelter Look-up'!$C$4,$V131-4,0)&amp;"")</f>
        <v>China Tin Group Co., Ltd.</v>
      </c>
      <c r="S131" s="181" t="str">
        <f t="shared" ca="1" si="14"/>
        <v>CN</v>
      </c>
      <c r="T131" s="181" t="str">
        <f ca="1">IF(B131="","",IF(ISERROR(MATCH($J131,SorP!$B$1:$B$6226,0)),"",INDIRECT("'SorP'!$A$"&amp;MATCH($S131&amp;$J131,SorP!C:C,0))))</f>
        <v>CN-GX</v>
      </c>
      <c r="U131" s="201"/>
      <c r="V131" s="226">
        <f>IF(C131="",NA(),IF(OR(C131="Smelter not listed",C131="Smelter not yet identified"),MATCH($B131&amp;$D131,'Smelter Look-up'!$J:$J,0),MATCH($B131&amp;$C131,'Smelter Look-up'!$J:$J,0)))</f>
        <v>411</v>
      </c>
      <c r="X131" s="227">
        <f t="shared" si="15"/>
        <v>0</v>
      </c>
      <c r="AB131" s="228" t="str">
        <f t="shared" si="16"/>
        <v>TinChina Tin Group Co., Ltd.</v>
      </c>
    </row>
    <row r="132" spans="1:28" s="227" customFormat="1" ht="89.25">
      <c r="A132" s="181" t="s">
        <v>748</v>
      </c>
      <c r="B132" s="182" t="s">
        <v>1099</v>
      </c>
      <c r="C132" s="186" t="s">
        <v>2099</v>
      </c>
      <c r="D132" s="230"/>
      <c r="E132" s="182" t="s">
        <v>1069</v>
      </c>
      <c r="F132" s="182" t="s">
        <v>748</v>
      </c>
      <c r="G132" s="182" t="s">
        <v>13177</v>
      </c>
      <c r="H132" s="183">
        <v>0</v>
      </c>
      <c r="I132" s="184" t="s">
        <v>2398</v>
      </c>
      <c r="J132" s="184" t="s">
        <v>13540</v>
      </c>
      <c r="K132" s="224"/>
      <c r="L132" s="224"/>
      <c r="M132" s="224"/>
      <c r="N132" s="224"/>
      <c r="O132" s="224"/>
      <c r="P132" s="185"/>
      <c r="Q132" s="225" t="s">
        <v>15887</v>
      </c>
      <c r="R132" s="182" t="str">
        <f ca="1">IF(ISERROR($V132),"",OFFSET('Smelter Look-up'!$C$4,$V132-4,0)&amp;"")</f>
        <v>Gejiu Non-Ferrous Metal Processing Co., Ltd.</v>
      </c>
      <c r="S132" s="181" t="str">
        <f t="shared" ca="1" si="14"/>
        <v>CN</v>
      </c>
      <c r="T132" s="181" t="str">
        <f ca="1">IF(B132="","",IF(ISERROR(MATCH($J132,SorP!$B$1:$B$6226,0)),"",INDIRECT("'SorP'!$A$"&amp;MATCH($S132&amp;$J132,SorP!C:C,0))))</f>
        <v>CN-YN</v>
      </c>
      <c r="U132" s="201"/>
      <c r="V132" s="226">
        <f>IF(C132="",NA(),IF(OR(C132="Smelter not listed",C132="Smelter not yet identified"),MATCH($B132&amp;$D132,'Smelter Look-up'!$J:$J,0),MATCH($B132&amp;$C132,'Smelter Look-up'!$J:$J,0)))</f>
        <v>443</v>
      </c>
      <c r="X132" s="227">
        <f t="shared" si="15"/>
        <v>0</v>
      </c>
      <c r="AB132" s="228" t="str">
        <f t="shared" si="16"/>
        <v>TinGejiu Non-Ferrous Metal Processing Co., Ltd.</v>
      </c>
    </row>
    <row r="133" spans="1:28" s="227" customFormat="1" ht="102">
      <c r="A133" s="181" t="s">
        <v>2481</v>
      </c>
      <c r="B133" s="182" t="s">
        <v>1099</v>
      </c>
      <c r="C133" s="186" t="s">
        <v>2480</v>
      </c>
      <c r="D133" s="230"/>
      <c r="E133" s="182" t="s">
        <v>1069</v>
      </c>
      <c r="F133" s="182" t="s">
        <v>2481</v>
      </c>
      <c r="G133" s="182" t="s">
        <v>13177</v>
      </c>
      <c r="H133" s="183">
        <v>0</v>
      </c>
      <c r="I133" s="184" t="s">
        <v>1781</v>
      </c>
      <c r="J133" s="184" t="s">
        <v>13536</v>
      </c>
      <c r="K133" s="224"/>
      <c r="L133" s="224"/>
      <c r="M133" s="224"/>
      <c r="N133" s="224"/>
      <c r="O133" s="224"/>
      <c r="P133" s="185"/>
      <c r="Q133" s="225" t="s">
        <v>15887</v>
      </c>
      <c r="R133" s="182" t="str">
        <f ca="1">IF(ISERROR($V133),"",OFFSET('Smelter Look-up'!$C$4,$V133-4,0)&amp;"")</f>
        <v>Guangdong Hanhe Non-Ferrous Metal Co., Ltd.</v>
      </c>
      <c r="S133" s="181" t="str">
        <f t="shared" ref="S133" ca="1" si="17">IF(B133="","",IF(ISERROR(MATCH($E133,CL,0)),"Unknown",INDIRECT("'C'!$A$"&amp;MATCH($E133,CL,0)+1)))</f>
        <v>CN</v>
      </c>
      <c r="T133" s="181" t="str">
        <f ca="1">IF(B133="","",IF(ISERROR(MATCH($J133,SorP!$B$1:$B$6226,0)),"",INDIRECT("'SorP'!$A$"&amp;MATCH($S133&amp;$J133,SorP!C:C,0))))</f>
        <v>CN-GD</v>
      </c>
      <c r="U133" s="201"/>
      <c r="V133" s="226">
        <f>IF(C133="",NA(),IF(OR(C133="Smelter not listed",C133="Smelter not yet identified"),MATCH($B133&amp;$D133,'Smelter Look-up'!$J:$J,0),MATCH($B133&amp;$C133,'Smelter Look-up'!$J:$J,0)))</f>
        <v>450</v>
      </c>
      <c r="X133" s="227">
        <f t="shared" ref="X133" si="18">IF(AND(C133="Smelter not listed",OR(LEN(D133)=0,LEN(E133)=0)),1,0)</f>
        <v>0</v>
      </c>
      <c r="AB133" s="228" t="str">
        <f t="shared" ref="AB133" si="19">B133&amp;C133</f>
        <v>TinGuangdong Hanhe Non-Ferrous Metal Co., Ltd.</v>
      </c>
    </row>
    <row r="134" spans="1:28" s="227" customFormat="1" ht="89.25">
      <c r="A134" s="181" t="s">
        <v>766</v>
      </c>
      <c r="B134" s="182" t="s">
        <v>1099</v>
      </c>
      <c r="C134" s="186" t="s">
        <v>15303</v>
      </c>
      <c r="D134" s="230"/>
      <c r="E134" s="182" t="s">
        <v>1069</v>
      </c>
      <c r="F134" s="182" t="s">
        <v>766</v>
      </c>
      <c r="G134" s="182" t="s">
        <v>13177</v>
      </c>
      <c r="H134" s="183">
        <v>0</v>
      </c>
      <c r="I134" s="184" t="s">
        <v>2398</v>
      </c>
      <c r="J134" s="184" t="s">
        <v>13540</v>
      </c>
      <c r="K134" s="224"/>
      <c r="L134" s="224"/>
      <c r="M134" s="224"/>
      <c r="N134" s="224"/>
      <c r="O134" s="224"/>
      <c r="P134" s="185"/>
      <c r="Q134" s="225" t="s">
        <v>15887</v>
      </c>
      <c r="R134" s="182" t="str">
        <f ca="1">IF(ISERROR($V134),"",OFFSET('Smelter Look-up'!$C$4,$V134-4,0)&amp;"")</f>
        <v>Tin Smelting Branch of Yunnan Tin Co., Ltd.</v>
      </c>
      <c r="S134" s="181" t="str">
        <f t="shared" ref="S134:S165" ca="1" si="20">IF(B134="","",IF(ISERROR(MATCH($E134,CL,0)),"Unknown",INDIRECT("'C'!$A$"&amp;MATCH($E134,CL,0)+1)))</f>
        <v>CN</v>
      </c>
      <c r="T134" s="181" t="str">
        <f ca="1">IF(B134="","",IF(ISERROR(MATCH($J134,SorP!$B$1:$B$6226,0)),"",INDIRECT("'SorP'!$A$"&amp;MATCH($S134&amp;$J134,SorP!C:C,0))))</f>
        <v>CN-YN</v>
      </c>
      <c r="U134" s="201"/>
      <c r="V134" s="226">
        <f>IF(C134="",NA(),IF(OR(C134="Smelter not listed",C134="Smelter not yet identified"),MATCH($B134&amp;$D134,'Smelter Look-up'!$J:$J,0),MATCH($B134&amp;$C134,'Smelter Look-up'!$J:$J,0)))</f>
        <v>524</v>
      </c>
      <c r="X134" s="227">
        <f t="shared" ref="X134:X165" si="21">IF(AND(C134="Smelter not listed",OR(LEN(D134)=0,LEN(E134)=0)),1,0)</f>
        <v>0</v>
      </c>
      <c r="AB134" s="228" t="str">
        <f t="shared" ref="AB134:AB165" si="22">B134&amp;C134</f>
        <v>TinTin Smelting Branch of Yunnan Tin Co., Ltd.</v>
      </c>
    </row>
    <row r="135" spans="1:28" s="227" customFormat="1" ht="25.5">
      <c r="A135" s="181" t="s">
        <v>754</v>
      </c>
      <c r="B135" s="182" t="s">
        <v>1099</v>
      </c>
      <c r="C135" s="186" t="s">
        <v>1003</v>
      </c>
      <c r="D135" s="230"/>
      <c r="E135" s="182" t="s">
        <v>851</v>
      </c>
      <c r="F135" s="182" t="s">
        <v>754</v>
      </c>
      <c r="G135" s="182" t="s">
        <v>13177</v>
      </c>
      <c r="H135" s="183">
        <v>0</v>
      </c>
      <c r="I135" s="184" t="s">
        <v>1743</v>
      </c>
      <c r="J135" s="184" t="s">
        <v>9062</v>
      </c>
      <c r="K135" s="224"/>
      <c r="L135" s="224"/>
      <c r="M135" s="224"/>
      <c r="N135" s="224"/>
      <c r="O135" s="224"/>
      <c r="P135" s="185"/>
      <c r="Q135" s="225" t="s">
        <v>15887</v>
      </c>
      <c r="R135" s="182" t="str">
        <f ca="1">IF(ISERROR($V135),"",OFFSET('Smelter Look-up'!$C$4,$V135-4,0)&amp;"")</f>
        <v>Minsur</v>
      </c>
      <c r="S135" s="181" t="str">
        <f t="shared" ca="1" si="20"/>
        <v>PE</v>
      </c>
      <c r="T135" s="181" t="str">
        <f ca="1">IF(B135="","",IF(ISERROR(MATCH($J135,SorP!$B$1:$B$6226,0)),"",INDIRECT("'SorP'!$A$"&amp;MATCH($S135&amp;$J135,SorP!C:C,0))))</f>
        <v>PE-ICA</v>
      </c>
      <c r="U135" s="201"/>
      <c r="V135" s="226">
        <f>IF(C135="",NA(),IF(OR(C135="Smelter not listed",C135="Smelter not yet identified"),MATCH($B135&amp;$D135,'Smelter Look-up'!$J:$J,0),MATCH($B135&amp;$C135,'Smelter Look-up'!$J:$J,0)))</f>
        <v>481</v>
      </c>
      <c r="X135" s="227">
        <f t="shared" si="21"/>
        <v>0</v>
      </c>
      <c r="AB135" s="228" t="str">
        <f t="shared" si="22"/>
        <v>TinMinsur</v>
      </c>
    </row>
    <row r="136" spans="1:28" s="227" customFormat="1" ht="51">
      <c r="A136" s="181" t="s">
        <v>15870</v>
      </c>
      <c r="B136" s="182" t="s">
        <v>1099</v>
      </c>
      <c r="C136" s="186" t="s">
        <v>15871</v>
      </c>
      <c r="D136" s="230"/>
      <c r="E136" s="182" t="s">
        <v>1074</v>
      </c>
      <c r="F136" s="182" t="s">
        <v>15870</v>
      </c>
      <c r="G136" s="182" t="s">
        <v>13177</v>
      </c>
      <c r="H136" s="183">
        <v>0</v>
      </c>
      <c r="I136" s="184" t="s">
        <v>14986</v>
      </c>
      <c r="J136" s="184" t="s">
        <v>12799</v>
      </c>
      <c r="K136" s="224"/>
      <c r="L136" s="224"/>
      <c r="M136" s="224"/>
      <c r="N136" s="224"/>
      <c r="O136" s="224"/>
      <c r="P136" s="185"/>
      <c r="Q136" s="225" t="s">
        <v>15887</v>
      </c>
      <c r="R136" s="182" t="str">
        <f ca="1">IF(ISERROR($V136),"",OFFSET('Smelter Look-up'!$C$4,$V136-4,0)&amp;"")</f>
        <v/>
      </c>
      <c r="S136" s="181" t="str">
        <f t="shared" ca="1" si="20"/>
        <v>ID</v>
      </c>
      <c r="T136" s="181" t="str">
        <f ca="1">IF(B136="","",IF(ISERROR(MATCH($J136,SorP!$B$1:$B$6226,0)),"",INDIRECT("'SorP'!$A$"&amp;MATCH($S136&amp;$J136,SorP!C:C,0))))</f>
        <v>ID-BB</v>
      </c>
      <c r="U136" s="201"/>
      <c r="V136" s="226" t="e">
        <f>IF(C136="",NA(),IF(OR(C136="Smelter not listed",C136="Smelter not yet identified"),MATCH($B136&amp;$D136,'Smelter Look-up'!$J:$J,0),MATCH($B136&amp;$C136,'Smelter Look-up'!$J:$J,0)))</f>
        <v>#N/A</v>
      </c>
      <c r="X136" s="227">
        <f t="shared" si="21"/>
        <v>0</v>
      </c>
      <c r="AB136" s="228" t="str">
        <f t="shared" si="22"/>
        <v>TinPT Stanindo Inti Perkasa</v>
      </c>
    </row>
    <row r="137" spans="1:28" s="227" customFormat="1" ht="51">
      <c r="A137" s="181" t="s">
        <v>777</v>
      </c>
      <c r="B137" s="182" t="s">
        <v>1099</v>
      </c>
      <c r="C137" s="186" t="s">
        <v>13714</v>
      </c>
      <c r="D137" s="230"/>
      <c r="E137" s="182" t="s">
        <v>1074</v>
      </c>
      <c r="F137" s="182" t="s">
        <v>777</v>
      </c>
      <c r="G137" s="182" t="s">
        <v>13177</v>
      </c>
      <c r="H137" s="183">
        <v>0</v>
      </c>
      <c r="I137" s="184" t="s">
        <v>1749</v>
      </c>
      <c r="J137" s="184" t="s">
        <v>6016</v>
      </c>
      <c r="K137" s="224"/>
      <c r="L137" s="224"/>
      <c r="M137" s="224"/>
      <c r="N137" s="224"/>
      <c r="O137" s="224"/>
      <c r="P137" s="185"/>
      <c r="Q137" s="225" t="s">
        <v>15887</v>
      </c>
      <c r="R137" s="182" t="str">
        <f ca="1">IF(ISERROR($V137),"",OFFSET('Smelter Look-up'!$C$4,$V137-4,0)&amp;"")</f>
        <v>PT Timah Tbk Kundur</v>
      </c>
      <c r="S137" s="181" t="str">
        <f t="shared" ca="1" si="20"/>
        <v>ID</v>
      </c>
      <c r="T137" s="181" t="str">
        <f ca="1">IF(B137="","",IF(ISERROR(MATCH($J137,SorP!$B$1:$B$6226,0)),"",INDIRECT("'SorP'!$A$"&amp;MATCH($S137&amp;$J137,SorP!C:C,0))))</f>
        <v>ID-RI</v>
      </c>
      <c r="U137" s="201"/>
      <c r="V137" s="226">
        <f>IF(C137="",NA(),IF(OR(C137="Smelter not listed",C137="Smelter not yet identified"),MATCH($B137&amp;$D137,'Smelter Look-up'!$J:$J,0),MATCH($B137&amp;$C137,'Smelter Look-up'!$J:$J,0)))</f>
        <v>509</v>
      </c>
      <c r="X137" s="227">
        <f t="shared" si="21"/>
        <v>0</v>
      </c>
      <c r="AB137" s="228" t="str">
        <f t="shared" si="22"/>
        <v>TinPT Timah Tbk Kundur</v>
      </c>
    </row>
    <row r="138" spans="1:28" s="227" customFormat="1" ht="25.5">
      <c r="A138" s="181" t="s">
        <v>762</v>
      </c>
      <c r="B138" s="182" t="s">
        <v>1099</v>
      </c>
      <c r="C138" s="186" t="s">
        <v>761</v>
      </c>
      <c r="D138" s="230"/>
      <c r="E138" s="182" t="s">
        <v>2383</v>
      </c>
      <c r="F138" s="182" t="s">
        <v>762</v>
      </c>
      <c r="G138" s="182" t="s">
        <v>13177</v>
      </c>
      <c r="H138" s="183">
        <v>0</v>
      </c>
      <c r="I138" s="184" t="s">
        <v>13738</v>
      </c>
      <c r="J138" s="184" t="s">
        <v>1665</v>
      </c>
      <c r="K138" s="224"/>
      <c r="L138" s="224"/>
      <c r="M138" s="224"/>
      <c r="N138" s="224"/>
      <c r="O138" s="224"/>
      <c r="P138" s="185"/>
      <c r="Q138" s="225" t="s">
        <v>15887</v>
      </c>
      <c r="R138" s="182" t="str">
        <f ca="1">IF(ISERROR($V138),"",OFFSET('Smelter Look-up'!$C$4,$V138-4,0)&amp;"")</f>
        <v>Rui Da Hung</v>
      </c>
      <c r="S138" s="181" t="str">
        <f t="shared" ca="1" si="20"/>
        <v>TW</v>
      </c>
      <c r="T138" s="181" t="str">
        <f ca="1">IF(B138="","",IF(ISERROR(MATCH($J138,SorP!$B$1:$B$6226,0)),"",INDIRECT("'SorP'!$A$"&amp;MATCH($S138&amp;$J138,SorP!C:C,0))))</f>
        <v>TW-TAO</v>
      </c>
      <c r="U138" s="201"/>
      <c r="V138" s="226">
        <f>IF(C138="",NA(),IF(OR(C138="Smelter not listed",C138="Smelter not yet identified"),MATCH($B138&amp;$D138,'Smelter Look-up'!$J:$J,0),MATCH($B138&amp;$C138,'Smelter Look-up'!$J:$J,0)))</f>
        <v>515</v>
      </c>
      <c r="X138" s="227">
        <f t="shared" si="21"/>
        <v>0</v>
      </c>
      <c r="AB138" s="228" t="str">
        <f t="shared" si="22"/>
        <v>TinRui Da Hung</v>
      </c>
    </row>
    <row r="139" spans="1:28" s="227" customFormat="1" ht="38.25">
      <c r="A139" s="181" t="s">
        <v>14958</v>
      </c>
      <c r="B139" s="182" t="s">
        <v>1099</v>
      </c>
      <c r="C139" s="186" t="s">
        <v>14957</v>
      </c>
      <c r="D139" s="230"/>
      <c r="E139" s="182" t="s">
        <v>1071</v>
      </c>
      <c r="F139" s="182" t="s">
        <v>14958</v>
      </c>
      <c r="G139" s="182" t="s">
        <v>13177</v>
      </c>
      <c r="H139" s="183">
        <v>0</v>
      </c>
      <c r="I139" s="184" t="s">
        <v>15696</v>
      </c>
      <c r="J139" s="184" t="s">
        <v>3602</v>
      </c>
      <c r="K139" s="224"/>
      <c r="L139" s="224"/>
      <c r="M139" s="224"/>
      <c r="N139" s="224"/>
      <c r="O139" s="224"/>
      <c r="P139" s="185"/>
      <c r="Q139" s="225" t="s">
        <v>15887</v>
      </c>
      <c r="R139" s="182" t="str">
        <f ca="1">IF(ISERROR($V139),"",OFFSET('Smelter Look-up'!$C$4,$V139-4,0)&amp;"")</f>
        <v>CRM Synergies</v>
      </c>
      <c r="S139" s="181" t="str">
        <f t="shared" ca="1" si="20"/>
        <v>ES</v>
      </c>
      <c r="T139" s="181" t="str">
        <f ca="1">IF(B139="","",IF(ISERROR(MATCH($J139,SorP!$B$1:$B$6226,0)),"",INDIRECT("'SorP'!$A$"&amp;MATCH($S139&amp;$J139,SorP!C:C,0))))</f>
        <v>ES-TO</v>
      </c>
      <c r="U139" s="201"/>
      <c r="V139" s="226">
        <f>IF(C139="",NA(),IF(OR(C139="Smelter not listed",C139="Smelter not yet identified"),MATCH($B139&amp;$D139,'Smelter Look-up'!$J:$J,0),MATCH($B139&amp;$C139,'Smelter Look-up'!$J:$J,0)))</f>
        <v>419</v>
      </c>
      <c r="X139" s="227">
        <f t="shared" si="21"/>
        <v>0</v>
      </c>
      <c r="AB139" s="228" t="str">
        <f t="shared" si="22"/>
        <v>TinCRM Synergies</v>
      </c>
    </row>
    <row r="140" spans="1:28" s="227" customFormat="1" ht="51">
      <c r="A140" s="181" t="s">
        <v>15873</v>
      </c>
      <c r="B140" s="182" t="s">
        <v>1099</v>
      </c>
      <c r="C140" s="186" t="s">
        <v>15874</v>
      </c>
      <c r="D140" s="230"/>
      <c r="E140" s="182" t="s">
        <v>1074</v>
      </c>
      <c r="F140" s="182" t="s">
        <v>15873</v>
      </c>
      <c r="G140" s="182" t="s">
        <v>13177</v>
      </c>
      <c r="H140" s="183">
        <v>0</v>
      </c>
      <c r="I140" s="184" t="s">
        <v>14989</v>
      </c>
      <c r="J140" s="184" t="s">
        <v>12799</v>
      </c>
      <c r="K140" s="224"/>
      <c r="L140" s="224"/>
      <c r="M140" s="224"/>
      <c r="N140" s="224"/>
      <c r="O140" s="224"/>
      <c r="P140" s="185"/>
      <c r="Q140" s="225" t="s">
        <v>15887</v>
      </c>
      <c r="R140" s="182" t="str">
        <f ca="1">IF(ISERROR($V140),"",OFFSET('Smelter Look-up'!$C$4,$V140-4,0)&amp;"")</f>
        <v/>
      </c>
      <c r="S140" s="181" t="str">
        <f t="shared" ca="1" si="20"/>
        <v>ID</v>
      </c>
      <c r="T140" s="181" t="str">
        <f ca="1">IF(B140="","",IF(ISERROR(MATCH($J140,SorP!$B$1:$B$6226,0)),"",INDIRECT("'SorP'!$A$"&amp;MATCH($S140&amp;$J140,SorP!C:C,0))))</f>
        <v>ID-BB</v>
      </c>
      <c r="U140" s="201"/>
      <c r="V140" s="226" t="e">
        <f>IF(C140="",NA(),IF(OR(C140="Smelter not listed",C140="Smelter not yet identified"),MATCH($B140&amp;$D140,'Smelter Look-up'!$J:$J,0),MATCH($B140&amp;$C140,'Smelter Look-up'!$J:$J,0)))</f>
        <v>#N/A</v>
      </c>
      <c r="X140" s="227">
        <f t="shared" si="21"/>
        <v>0</v>
      </c>
      <c r="AB140" s="228" t="str">
        <f t="shared" si="22"/>
        <v>TinPT Bangka Serumpun</v>
      </c>
    </row>
    <row r="141" spans="1:28" s="227" customFormat="1" ht="63.75">
      <c r="A141" s="181" t="s">
        <v>758</v>
      </c>
      <c r="B141" s="182" t="s">
        <v>1099</v>
      </c>
      <c r="C141" s="186" t="s">
        <v>13715</v>
      </c>
      <c r="D141" s="230"/>
      <c r="E141" s="182" t="s">
        <v>2382</v>
      </c>
      <c r="F141" s="182" t="s">
        <v>758</v>
      </c>
      <c r="G141" s="182" t="s">
        <v>13177</v>
      </c>
      <c r="H141" s="183">
        <v>0</v>
      </c>
      <c r="I141" s="184" t="s">
        <v>1728</v>
      </c>
      <c r="J141" s="184" t="s">
        <v>1728</v>
      </c>
      <c r="K141" s="224"/>
      <c r="L141" s="224"/>
      <c r="M141" s="224"/>
      <c r="N141" s="224"/>
      <c r="O141" s="224"/>
      <c r="P141" s="185"/>
      <c r="Q141" s="225" t="s">
        <v>15887</v>
      </c>
      <c r="R141" s="182" t="str">
        <f ca="1">IF(ISERROR($V141),"",OFFSET('Smelter Look-up'!$C$4,$V141-4,0)&amp;"")</f>
        <v>Operaciones Metalurgicas S.A.</v>
      </c>
      <c r="S141" s="181" t="str">
        <f t="shared" ca="1" si="20"/>
        <v>BO</v>
      </c>
      <c r="T141" s="181" t="str">
        <f ca="1">IF(B141="","",IF(ISERROR(MATCH($J141,SorP!$B$1:$B$6226,0)),"",INDIRECT("'SorP'!$A$"&amp;MATCH($S141&amp;$J141,SorP!C:C,0))))</f>
        <v>BO-O</v>
      </c>
      <c r="U141" s="201"/>
      <c r="V141" s="226">
        <f>IF(C141="",NA(),IF(OR(C141="Smelter not listed",C141="Smelter not yet identified"),MATCH($B141&amp;$D141,'Smelter Look-up'!$J:$J,0),MATCH($B141&amp;$C141,'Smelter Look-up'!$J:$J,0)))</f>
        <v>493</v>
      </c>
      <c r="X141" s="227">
        <f t="shared" si="21"/>
        <v>0</v>
      </c>
      <c r="AB141" s="228" t="str">
        <f t="shared" si="22"/>
        <v>TinOperaciones Metalurgicas S.A.</v>
      </c>
    </row>
    <row r="142" spans="1:28" s="227" customFormat="1" ht="51">
      <c r="A142" s="181" t="s">
        <v>759</v>
      </c>
      <c r="B142" s="182" t="s">
        <v>1099</v>
      </c>
      <c r="C142" s="186" t="s">
        <v>610</v>
      </c>
      <c r="D142" s="230"/>
      <c r="E142" s="182" t="s">
        <v>1074</v>
      </c>
      <c r="F142" s="182" t="s">
        <v>759</v>
      </c>
      <c r="G142" s="182" t="s">
        <v>13177</v>
      </c>
      <c r="H142" s="183">
        <v>0</v>
      </c>
      <c r="I142" s="184" t="s">
        <v>1726</v>
      </c>
      <c r="J142" s="184" t="s">
        <v>12799</v>
      </c>
      <c r="K142" s="224"/>
      <c r="L142" s="224"/>
      <c r="M142" s="224"/>
      <c r="N142" s="224"/>
      <c r="O142" s="224"/>
      <c r="P142" s="185"/>
      <c r="Q142" s="225" t="s">
        <v>15887</v>
      </c>
      <c r="R142" s="182" t="str">
        <f ca="1">IF(ISERROR($V142),"",OFFSET('Smelter Look-up'!$C$4,$V142-4,0)&amp;"")</f>
        <v>PT Mitra Stania Prima</v>
      </c>
      <c r="S142" s="181" t="str">
        <f t="shared" ca="1" si="20"/>
        <v>ID</v>
      </c>
      <c r="T142" s="181" t="str">
        <f ca="1">IF(B142="","",IF(ISERROR(MATCH($J142,SorP!$B$1:$B$6226,0)),"",INDIRECT("'SorP'!$A$"&amp;MATCH($S142&amp;$J142,SorP!C:C,0))))</f>
        <v>ID-BB</v>
      </c>
      <c r="U142" s="201"/>
      <c r="V142" s="226">
        <f>IF(C142="",NA(),IF(OR(C142="Smelter not listed",C142="Smelter not yet identified"),MATCH($B142&amp;$D142,'Smelter Look-up'!$J:$J,0),MATCH($B142&amp;$C142,'Smelter Look-up'!$J:$J,0)))</f>
        <v>502</v>
      </c>
      <c r="X142" s="227">
        <f t="shared" si="21"/>
        <v>0</v>
      </c>
      <c r="AB142" s="228" t="str">
        <f t="shared" si="22"/>
        <v>TinPT Mitra Stania Prima</v>
      </c>
    </row>
    <row r="143" spans="1:28" s="227" customFormat="1" ht="63.75">
      <c r="A143" s="181" t="s">
        <v>744</v>
      </c>
      <c r="B143" s="182" t="s">
        <v>1099</v>
      </c>
      <c r="C143" s="186" t="s">
        <v>15688</v>
      </c>
      <c r="D143" s="230"/>
      <c r="E143" s="182" t="s">
        <v>2384</v>
      </c>
      <c r="F143" s="182" t="s">
        <v>744</v>
      </c>
      <c r="G143" s="182" t="s">
        <v>13177</v>
      </c>
      <c r="H143" s="183">
        <v>0</v>
      </c>
      <c r="I143" s="184" t="s">
        <v>1719</v>
      </c>
      <c r="J143" s="184" t="s">
        <v>1699</v>
      </c>
      <c r="K143" s="224"/>
      <c r="L143" s="224"/>
      <c r="M143" s="224"/>
      <c r="N143" s="224"/>
      <c r="O143" s="224"/>
      <c r="P143" s="185"/>
      <c r="Q143" s="225" t="s">
        <v>15887</v>
      </c>
      <c r="R143" s="182" t="str">
        <f ca="1">IF(ISERROR($V143),"",OFFSET('Smelter Look-up'!$C$4,$V143-4,0)&amp;"")</f>
        <v>Alpha Assembly Solutions Inc</v>
      </c>
      <c r="S143" s="181" t="str">
        <f t="shared" ca="1" si="20"/>
        <v>US</v>
      </c>
      <c r="T143" s="181" t="str">
        <f ca="1">IF(B143="","",IF(ISERROR(MATCH($J143,SorP!$B$1:$B$6226,0)),"",INDIRECT("'SorP'!$A$"&amp;MATCH($S143&amp;$J143,SorP!C:C,0))))</f>
        <v>US-PA</v>
      </c>
      <c r="U143" s="201"/>
      <c r="V143" s="226">
        <f>IF(C143="",NA(),IF(OR(C143="Smelter not listed",C143="Smelter not yet identified"),MATCH($B143&amp;$D143,'Smelter Look-up'!$J:$J,0),MATCH($B143&amp;$C143,'Smelter Look-up'!$J:$J,0)))</f>
        <v>399</v>
      </c>
      <c r="X143" s="227">
        <f t="shared" si="21"/>
        <v>0</v>
      </c>
      <c r="AB143" s="228" t="str">
        <f t="shared" si="22"/>
        <v>TinAlpha Assembly Solutions Inc</v>
      </c>
    </row>
    <row r="144" spans="1:28" s="227" customFormat="1" ht="51">
      <c r="A144" s="181" t="s">
        <v>753</v>
      </c>
      <c r="B144" s="182" t="s">
        <v>1099</v>
      </c>
      <c r="C144" s="186" t="s">
        <v>12377</v>
      </c>
      <c r="D144" s="230"/>
      <c r="E144" s="182" t="s">
        <v>1065</v>
      </c>
      <c r="F144" s="182" t="s">
        <v>753</v>
      </c>
      <c r="G144" s="182" t="s">
        <v>13177</v>
      </c>
      <c r="H144" s="183">
        <v>0</v>
      </c>
      <c r="I144" s="184" t="s">
        <v>15698</v>
      </c>
      <c r="J144" s="184" t="s">
        <v>1640</v>
      </c>
      <c r="K144" s="224"/>
      <c r="L144" s="224"/>
      <c r="M144" s="224"/>
      <c r="N144" s="224"/>
      <c r="O144" s="224"/>
      <c r="P144" s="185"/>
      <c r="Q144" s="225" t="s">
        <v>15887</v>
      </c>
      <c r="R144" s="182" t="str">
        <f ca="1">IF(ISERROR($V144),"",OFFSET('Smelter Look-up'!$C$4,$V144-4,0)&amp;"")</f>
        <v>Mineracao Taboca S.A.</v>
      </c>
      <c r="S144" s="181" t="str">
        <f t="shared" ca="1" si="20"/>
        <v>BR</v>
      </c>
      <c r="T144" s="181" t="str">
        <f ca="1">IF(B144="","",IF(ISERROR(MATCH($J144,SorP!$B$1:$B$6226,0)),"",INDIRECT("'SorP'!$A$"&amp;MATCH($S144&amp;$J144,SorP!C:C,0))))</f>
        <v>BR-SP</v>
      </c>
      <c r="U144" s="201"/>
      <c r="V144" s="226">
        <f>IF(C144="",NA(),IF(OR(C144="Smelter not listed",C144="Smelter not yet identified"),MATCH($B144&amp;$D144,'Smelter Look-up'!$J:$J,0),MATCH($B144&amp;$C144,'Smelter Look-up'!$J:$J,0)))</f>
        <v>476</v>
      </c>
      <c r="X144" s="227">
        <f t="shared" si="21"/>
        <v>0</v>
      </c>
      <c r="AB144" s="228" t="str">
        <f t="shared" si="22"/>
        <v>TinMineracao Taboca S.A.</v>
      </c>
    </row>
    <row r="145" spans="1:28" s="227" customFormat="1" ht="76.5">
      <c r="A145" s="181" t="s">
        <v>755</v>
      </c>
      <c r="B145" s="182" t="s">
        <v>1099</v>
      </c>
      <c r="C145" s="186" t="s">
        <v>1131</v>
      </c>
      <c r="D145" s="230"/>
      <c r="E145" s="182" t="s">
        <v>1077</v>
      </c>
      <c r="F145" s="182" t="s">
        <v>755</v>
      </c>
      <c r="G145" s="182" t="s">
        <v>13177</v>
      </c>
      <c r="H145" s="183">
        <v>0</v>
      </c>
      <c r="I145" s="184" t="s">
        <v>15643</v>
      </c>
      <c r="J145" s="184" t="s">
        <v>6618</v>
      </c>
      <c r="K145" s="224"/>
      <c r="L145" s="224"/>
      <c r="M145" s="224"/>
      <c r="N145" s="224"/>
      <c r="O145" s="224"/>
      <c r="P145" s="185"/>
      <c r="Q145" s="225" t="s">
        <v>15887</v>
      </c>
      <c r="R145" s="182" t="str">
        <f ca="1">IF(ISERROR($V145),"",OFFSET('Smelter Look-up'!$C$4,$V145-4,0)&amp;"")</f>
        <v>Mitsubishi Materials Corporation</v>
      </c>
      <c r="S145" s="181" t="str">
        <f t="shared" ca="1" si="20"/>
        <v>JP</v>
      </c>
      <c r="T145" s="181" t="str">
        <f ca="1">IF(B145="","",IF(ISERROR(MATCH($J145,SorP!$B$1:$B$6226,0)),"",INDIRECT("'SorP'!$A$"&amp;MATCH($S145&amp;$J145,SorP!C:C,0))))</f>
        <v>JP-28</v>
      </c>
      <c r="U145" s="201"/>
      <c r="V145" s="226">
        <f>IF(C145="",NA(),IF(OR(C145="Smelter not listed",C145="Smelter not yet identified"),MATCH($B145&amp;$D145,'Smelter Look-up'!$J:$J,0),MATCH($B145&amp;$C145,'Smelter Look-up'!$J:$J,0)))</f>
        <v>482</v>
      </c>
      <c r="X145" s="227">
        <f t="shared" si="21"/>
        <v>0</v>
      </c>
      <c r="AB145" s="228" t="str">
        <f t="shared" si="22"/>
        <v>TinMitsubishi Materials Corporation</v>
      </c>
    </row>
    <row r="146" spans="1:28" s="227" customFormat="1" ht="89.25">
      <c r="A146" s="181" t="s">
        <v>12877</v>
      </c>
      <c r="B146" s="182" t="s">
        <v>1099</v>
      </c>
      <c r="C146" s="186" t="s">
        <v>12876</v>
      </c>
      <c r="D146" s="230"/>
      <c r="E146" s="182" t="s">
        <v>1069</v>
      </c>
      <c r="F146" s="182" t="s">
        <v>12877</v>
      </c>
      <c r="G146" s="182" t="s">
        <v>13177</v>
      </c>
      <c r="H146" s="183">
        <v>0</v>
      </c>
      <c r="I146" s="184" t="s">
        <v>12893</v>
      </c>
      <c r="J146" s="184" t="s">
        <v>13514</v>
      </c>
      <c r="K146" s="224"/>
      <c r="L146" s="224"/>
      <c r="M146" s="224"/>
      <c r="N146" s="224"/>
      <c r="O146" s="224"/>
      <c r="P146" s="185"/>
      <c r="Q146" s="225" t="s">
        <v>15887</v>
      </c>
      <c r="R146" s="182" t="str">
        <f ca="1">IF(ISERROR($V146),"",OFFSET('Smelter Look-up'!$C$4,$V146-4,0)&amp;"")</f>
        <v>Chifeng Dajingzi Tin Industry Co., Ltd.</v>
      </c>
      <c r="S146" s="181" t="str">
        <f t="shared" ca="1" si="20"/>
        <v>CN</v>
      </c>
      <c r="T146" s="181" t="str">
        <f ca="1">IF(B146="","",IF(ISERROR(MATCH($J146,SorP!$B$1:$B$6226,0)),"",INDIRECT("'SorP'!$A$"&amp;MATCH($S146&amp;$J146,SorP!C:C,0))))</f>
        <v>CN-NM</v>
      </c>
      <c r="U146" s="201"/>
      <c r="V146" s="226">
        <f>IF(C146="",NA(),IF(OR(C146="Smelter not listed",C146="Smelter not yet identified"),MATCH($B146&amp;$D146,'Smelter Look-up'!$J:$J,0),MATCH($B146&amp;$C146,'Smelter Look-up'!$J:$J,0)))</f>
        <v>409</v>
      </c>
      <c r="X146" s="227">
        <f t="shared" si="21"/>
        <v>0</v>
      </c>
      <c r="AB146" s="228" t="str">
        <f t="shared" si="22"/>
        <v>TinChifeng Dajingzi Tin Industry Co., Ltd.</v>
      </c>
    </row>
    <row r="147" spans="1:28" s="227" customFormat="1" ht="20.25">
      <c r="A147" s="181" t="s">
        <v>1374</v>
      </c>
      <c r="B147" s="182" t="s">
        <v>1099</v>
      </c>
      <c r="C147" s="186" t="s">
        <v>877</v>
      </c>
      <c r="D147" s="230"/>
      <c r="E147" s="182" t="s">
        <v>1077</v>
      </c>
      <c r="F147" s="182" t="s">
        <v>1374</v>
      </c>
      <c r="G147" s="182" t="s">
        <v>13177</v>
      </c>
      <c r="H147" s="183">
        <v>0</v>
      </c>
      <c r="I147" s="184" t="s">
        <v>1541</v>
      </c>
      <c r="J147" s="184" t="s">
        <v>1542</v>
      </c>
      <c r="K147" s="224"/>
      <c r="L147" s="224"/>
      <c r="M147" s="224"/>
      <c r="N147" s="224"/>
      <c r="O147" s="224"/>
      <c r="P147" s="185"/>
      <c r="Q147" s="225" t="s">
        <v>15887</v>
      </c>
      <c r="R147" s="182" t="str">
        <f ca="1">IF(ISERROR($V147),"",OFFSET('Smelter Look-up'!$C$4,$V147-4,0)&amp;"")</f>
        <v>Dowa</v>
      </c>
      <c r="S147" s="181" t="str">
        <f t="shared" ca="1" si="20"/>
        <v>JP</v>
      </c>
      <c r="T147" s="181" t="str">
        <f ca="1">IF(B147="","",IF(ISERROR(MATCH($J147,SorP!$B$1:$B$6226,0)),"",INDIRECT("'SorP'!$A$"&amp;MATCH($S147&amp;$J147,SorP!C:C,0))))</f>
        <v>JP-05</v>
      </c>
      <c r="U147" s="201"/>
      <c r="V147" s="226">
        <f>IF(C147="",NA(),IF(OR(C147="Smelter not listed",C147="Smelter not yet identified"),MATCH($B147&amp;$D147,'Smelter Look-up'!$J:$J,0),MATCH($B147&amp;$C147,'Smelter Look-up'!$J:$J,0)))</f>
        <v>425</v>
      </c>
      <c r="X147" s="227">
        <f t="shared" si="21"/>
        <v>0</v>
      </c>
      <c r="AB147" s="228" t="str">
        <f t="shared" si="22"/>
        <v>TinDowa</v>
      </c>
    </row>
    <row r="148" spans="1:28" s="227" customFormat="1" ht="38.25">
      <c r="A148" s="181" t="s">
        <v>745</v>
      </c>
      <c r="B148" s="182" t="s">
        <v>1099</v>
      </c>
      <c r="C148" s="186" t="s">
        <v>814</v>
      </c>
      <c r="D148" s="230"/>
      <c r="E148" s="182" t="s">
        <v>2382</v>
      </c>
      <c r="F148" s="182" t="s">
        <v>745</v>
      </c>
      <c r="G148" s="182" t="s">
        <v>13177</v>
      </c>
      <c r="H148" s="183">
        <v>0</v>
      </c>
      <c r="I148" s="184" t="s">
        <v>1728</v>
      </c>
      <c r="J148" s="184" t="s">
        <v>1728</v>
      </c>
      <c r="K148" s="224"/>
      <c r="L148" s="224"/>
      <c r="M148" s="224"/>
      <c r="N148" s="224"/>
      <c r="O148" s="224"/>
      <c r="P148" s="185"/>
      <c r="Q148" s="225" t="s">
        <v>15887</v>
      </c>
      <c r="R148" s="182" t="str">
        <f ca="1">IF(ISERROR($V148),"",OFFSET('Smelter Look-up'!$C$4,$V148-4,0)&amp;"")</f>
        <v>EM Vinto</v>
      </c>
      <c r="S148" s="181" t="str">
        <f t="shared" ca="1" si="20"/>
        <v>BO</v>
      </c>
      <c r="T148" s="181" t="str">
        <f ca="1">IF(B148="","",IF(ISERROR(MATCH($J148,SorP!$B$1:$B$6226,0)),"",INDIRECT("'SorP'!$A$"&amp;MATCH($S148&amp;$J148,SorP!C:C,0))))</f>
        <v>BO-O</v>
      </c>
      <c r="U148" s="201"/>
      <c r="V148" s="226">
        <f>IF(C148="",NA(),IF(OR(C148="Smelter not listed",C148="Smelter not yet identified"),MATCH($B148&amp;$D148,'Smelter Look-up'!$J:$J,0),MATCH($B148&amp;$C148,'Smelter Look-up'!$J:$J,0)))</f>
        <v>428</v>
      </c>
      <c r="X148" s="227">
        <f t="shared" si="21"/>
        <v>0</v>
      </c>
      <c r="AB148" s="228" t="str">
        <f t="shared" si="22"/>
        <v>TinEM Vinto</v>
      </c>
    </row>
    <row r="149" spans="1:28" s="227" customFormat="1" ht="25.5">
      <c r="A149" s="181" t="s">
        <v>747</v>
      </c>
      <c r="B149" s="182" t="s">
        <v>1099</v>
      </c>
      <c r="C149" s="186" t="s">
        <v>788</v>
      </c>
      <c r="D149" s="230"/>
      <c r="E149" s="182" t="s">
        <v>853</v>
      </c>
      <c r="F149" s="182" t="s">
        <v>747</v>
      </c>
      <c r="G149" s="182" t="s">
        <v>13177</v>
      </c>
      <c r="H149" s="183">
        <v>0</v>
      </c>
      <c r="I149" s="184" t="s">
        <v>1730</v>
      </c>
      <c r="J149" s="184" t="s">
        <v>9448</v>
      </c>
      <c r="K149" s="224"/>
      <c r="L149" s="224"/>
      <c r="M149" s="224"/>
      <c r="N149" s="224"/>
      <c r="O149" s="224"/>
      <c r="P149" s="185"/>
      <c r="Q149" s="225" t="s">
        <v>15887</v>
      </c>
      <c r="R149" s="182" t="str">
        <f ca="1">IF(ISERROR($V149),"",OFFSET('Smelter Look-up'!$C$4,$V149-4,0)&amp;"")</f>
        <v>Fenix Metals</v>
      </c>
      <c r="S149" s="181" t="str">
        <f t="shared" ca="1" si="20"/>
        <v>PL</v>
      </c>
      <c r="T149" s="181" t="str">
        <f ca="1">IF(B149="","",IF(ISERROR(MATCH($J149,SorP!$B$1:$B$6226,0)),"",INDIRECT("'SorP'!$A$"&amp;MATCH($S149&amp;$J149,SorP!C:C,0))))</f>
        <v>PL-18</v>
      </c>
      <c r="U149" s="201"/>
      <c r="V149" s="226">
        <f>IF(C149="",NA(),IF(OR(C149="Smelter not listed",C149="Smelter not yet identified"),MATCH($B149&amp;$D149,'Smelter Look-up'!$J:$J,0),MATCH($B149&amp;$C149,'Smelter Look-up'!$J:$J,0)))</f>
        <v>437</v>
      </c>
      <c r="X149" s="227">
        <f t="shared" si="21"/>
        <v>0</v>
      </c>
      <c r="AB149" s="228" t="str">
        <f t="shared" si="22"/>
        <v>TinFenix Metals</v>
      </c>
    </row>
    <row r="150" spans="1:28" s="227" customFormat="1" ht="63.75">
      <c r="A150" s="181" t="s">
        <v>1746</v>
      </c>
      <c r="B150" s="182" t="s">
        <v>1099</v>
      </c>
      <c r="C150" s="186" t="s">
        <v>13119</v>
      </c>
      <c r="D150" s="230"/>
      <c r="E150" s="182" t="s">
        <v>1069</v>
      </c>
      <c r="F150" s="182" t="s">
        <v>1746</v>
      </c>
      <c r="G150" s="182" t="s">
        <v>13177</v>
      </c>
      <c r="H150" s="183">
        <v>0</v>
      </c>
      <c r="I150" s="184" t="s">
        <v>1732</v>
      </c>
      <c r="J150" s="184" t="s">
        <v>13531</v>
      </c>
      <c r="K150" s="224"/>
      <c r="L150" s="224"/>
      <c r="M150" s="224"/>
      <c r="N150" s="224"/>
      <c r="O150" s="224"/>
      <c r="P150" s="185"/>
      <c r="Q150" s="225" t="s">
        <v>15887</v>
      </c>
      <c r="R150" s="182" t="str">
        <f ca="1">IF(ISERROR($V150),"",OFFSET('Smelter Look-up'!$C$4,$V150-4,0)&amp;"")</f>
        <v>Jiangxi New Nanshan Technology Ltd.</v>
      </c>
      <c r="S150" s="181" t="str">
        <f t="shared" ca="1" si="20"/>
        <v>CN</v>
      </c>
      <c r="T150" s="181" t="str">
        <f ca="1">IF(B150="","",IF(ISERROR(MATCH($J150,SorP!$B$1:$B$6226,0)),"",INDIRECT("'SorP'!$A$"&amp;MATCH($S150&amp;$J150,SorP!C:C,0))))</f>
        <v>CN-JX</v>
      </c>
      <c r="U150" s="201"/>
      <c r="V150" s="226">
        <f>IF(C150="",NA(),IF(OR(C150="Smelter not listed",C150="Smelter not yet identified"),MATCH($B150&amp;$D150,'Smelter Look-up'!$J:$J,0),MATCH($B150&amp;$C150,'Smelter Look-up'!$J:$J,0)))</f>
        <v>458</v>
      </c>
      <c r="X150" s="227">
        <f t="shared" si="21"/>
        <v>0</v>
      </c>
      <c r="AB150" s="228" t="str">
        <f t="shared" si="22"/>
        <v>TinJiangxi New Nanshan Technology Ltd.</v>
      </c>
    </row>
    <row r="151" spans="1:28" s="227" customFormat="1" ht="76.5">
      <c r="A151" s="181" t="s">
        <v>131</v>
      </c>
      <c r="B151" s="182" t="s">
        <v>1099</v>
      </c>
      <c r="C151" s="186" t="s">
        <v>2121</v>
      </c>
      <c r="D151" s="230"/>
      <c r="E151" s="182" t="s">
        <v>1065</v>
      </c>
      <c r="F151" s="182" t="s">
        <v>131</v>
      </c>
      <c r="G151" s="182" t="s">
        <v>13177</v>
      </c>
      <c r="H151" s="183">
        <v>0</v>
      </c>
      <c r="I151" s="184" t="s">
        <v>1683</v>
      </c>
      <c r="J151" s="184" t="s">
        <v>1515</v>
      </c>
      <c r="K151" s="224"/>
      <c r="L151" s="224"/>
      <c r="M151" s="224"/>
      <c r="N151" s="224"/>
      <c r="O151" s="224"/>
      <c r="P151" s="185"/>
      <c r="Q151" s="225" t="s">
        <v>15887</v>
      </c>
      <c r="R151" s="182" t="str">
        <f ca="1">IF(ISERROR($V151),"",OFFSET('Smelter Look-up'!$C$4,$V151-4,0)&amp;"")</f>
        <v>Magnu's Minerais Metais e Ligas Ltda.</v>
      </c>
      <c r="S151" s="181" t="str">
        <f t="shared" ca="1" si="20"/>
        <v>BR</v>
      </c>
      <c r="T151" s="181" t="str">
        <f ca="1">IF(B151="","",IF(ISERROR(MATCH($J151,SorP!$B$1:$B$6226,0)),"",INDIRECT("'SorP'!$A$"&amp;MATCH($S151&amp;$J151,SorP!C:C,0))))</f>
        <v>BR-MG</v>
      </c>
      <c r="U151" s="201"/>
      <c r="V151" s="226">
        <f>IF(C151="",NA(),IF(OR(C151="Smelter not listed",C151="Smelter not yet identified"),MATCH($B151&amp;$D151,'Smelter Look-up'!$J:$J,0),MATCH($B151&amp;$C151,'Smelter Look-up'!$J:$J,0)))</f>
        <v>467</v>
      </c>
      <c r="X151" s="227">
        <f t="shared" si="21"/>
        <v>0</v>
      </c>
      <c r="AB151" s="228" t="str">
        <f t="shared" si="22"/>
        <v>TinMagnu's Minerais Metais e Ligas Ltda.</v>
      </c>
    </row>
    <row r="152" spans="1:28" s="227" customFormat="1" ht="51">
      <c r="A152" s="181" t="s">
        <v>1740</v>
      </c>
      <c r="B152" s="182" t="s">
        <v>1099</v>
      </c>
      <c r="C152" s="186" t="s">
        <v>2104</v>
      </c>
      <c r="D152" s="230"/>
      <c r="E152" s="182" t="s">
        <v>2384</v>
      </c>
      <c r="F152" s="182" t="s">
        <v>1740</v>
      </c>
      <c r="G152" s="182" t="s">
        <v>13177</v>
      </c>
      <c r="H152" s="183">
        <v>0</v>
      </c>
      <c r="I152" s="184" t="s">
        <v>1741</v>
      </c>
      <c r="J152" s="184" t="s">
        <v>1601</v>
      </c>
      <c r="K152" s="224"/>
      <c r="L152" s="224"/>
      <c r="M152" s="224"/>
      <c r="N152" s="224"/>
      <c r="O152" s="224"/>
      <c r="P152" s="185"/>
      <c r="Q152" s="225" t="s">
        <v>15887</v>
      </c>
      <c r="R152" s="182" t="str">
        <f ca="1">IF(ISERROR($V152),"",OFFSET('Smelter Look-up'!$C$4,$V152-4,0)&amp;"")</f>
        <v>Metallic Resources, Inc.</v>
      </c>
      <c r="S152" s="181" t="str">
        <f t="shared" ca="1" si="20"/>
        <v>US</v>
      </c>
      <c r="T152" s="181" t="str">
        <f ca="1">IF(B152="","",IF(ISERROR(MATCH($J152,SorP!$B$1:$B$6226,0)),"",INDIRECT("'SorP'!$A$"&amp;MATCH($S152&amp;$J152,SorP!C:C,0))))</f>
        <v>US-OH</v>
      </c>
      <c r="U152" s="201"/>
      <c r="V152" s="226">
        <f>IF(C152="",NA(),IF(OR(C152="Smelter not listed",C152="Smelter not yet identified"),MATCH($B152&amp;$D152,'Smelter Look-up'!$J:$J,0),MATCH($B152&amp;$C152,'Smelter Look-up'!$J:$J,0)))</f>
        <v>473</v>
      </c>
      <c r="X152" s="227">
        <f t="shared" si="21"/>
        <v>0</v>
      </c>
      <c r="AB152" s="228" t="str">
        <f t="shared" si="22"/>
        <v>TinMetallic Resources, Inc.</v>
      </c>
    </row>
    <row r="153" spans="1:28" s="227" customFormat="1" ht="76.5">
      <c r="A153" s="181" t="s">
        <v>757</v>
      </c>
      <c r="B153" s="182" t="s">
        <v>1099</v>
      </c>
      <c r="C153" s="186" t="s">
        <v>756</v>
      </c>
      <c r="D153" s="230"/>
      <c r="E153" s="182" t="s">
        <v>859</v>
      </c>
      <c r="F153" s="182" t="s">
        <v>757</v>
      </c>
      <c r="G153" s="182" t="s">
        <v>13177</v>
      </c>
      <c r="H153" s="183">
        <v>0</v>
      </c>
      <c r="I153" s="184" t="s">
        <v>2292</v>
      </c>
      <c r="J153" s="184" t="s">
        <v>10972</v>
      </c>
      <c r="K153" s="224"/>
      <c r="L153" s="224"/>
      <c r="M153" s="224"/>
      <c r="N153" s="224"/>
      <c r="O153" s="224"/>
      <c r="P153" s="185"/>
      <c r="Q153" s="225" t="s">
        <v>15887</v>
      </c>
      <c r="R153" s="182" t="str">
        <f ca="1">IF(ISERROR($V153),"",OFFSET('Smelter Look-up'!$C$4,$V153-4,0)&amp;"")</f>
        <v>O.M. Manufacturing (Thailand) Co., Ltd.</v>
      </c>
      <c r="S153" s="181" t="str">
        <f t="shared" ca="1" si="20"/>
        <v>TH</v>
      </c>
      <c r="T153" s="181" t="str">
        <f ca="1">IF(B153="","",IF(ISERROR(MATCH($J153,SorP!$B$1:$B$6226,0)),"",INDIRECT("'SorP'!$A$"&amp;MATCH($S153&amp;$J153,SorP!C:C,0))))</f>
        <v>TH-20</v>
      </c>
      <c r="U153" s="201"/>
      <c r="V153" s="226">
        <f>IF(C153="",NA(),IF(OR(C153="Smelter not listed",C153="Smelter not yet identified"),MATCH($B153&amp;$D153,'Smelter Look-up'!$J:$J,0),MATCH($B153&amp;$C153,'Smelter Look-up'!$J:$J,0)))</f>
        <v>490</v>
      </c>
      <c r="X153" s="227">
        <f t="shared" si="21"/>
        <v>0</v>
      </c>
      <c r="AB153" s="228" t="str">
        <f t="shared" si="22"/>
        <v>TinO.M. Manufacturing (Thailand) Co., Ltd.</v>
      </c>
    </row>
    <row r="154" spans="1:28" s="227" customFormat="1" ht="63.75">
      <c r="A154" s="181" t="s">
        <v>1366</v>
      </c>
      <c r="B154" s="182" t="s">
        <v>1099</v>
      </c>
      <c r="C154" s="186" t="s">
        <v>1365</v>
      </c>
      <c r="D154" s="230"/>
      <c r="E154" s="182" t="s">
        <v>852</v>
      </c>
      <c r="F154" s="182" t="s">
        <v>1366</v>
      </c>
      <c r="G154" s="182" t="s">
        <v>13177</v>
      </c>
      <c r="H154" s="183">
        <v>0</v>
      </c>
      <c r="I154" s="184" t="s">
        <v>12887</v>
      </c>
      <c r="J154" s="184" t="s">
        <v>9398</v>
      </c>
      <c r="K154" s="224"/>
      <c r="L154" s="224"/>
      <c r="M154" s="224"/>
      <c r="N154" s="224"/>
      <c r="O154" s="224"/>
      <c r="P154" s="185"/>
      <c r="Q154" s="225" t="s">
        <v>15887</v>
      </c>
      <c r="R154" s="182" t="str">
        <f ca="1">IF(ISERROR($V154),"",OFFSET('Smelter Look-up'!$C$4,$V154-4,0)&amp;"")</f>
        <v>O.M. Manufacturing Philippines, Inc.</v>
      </c>
      <c r="S154" s="181" t="str">
        <f t="shared" ca="1" si="20"/>
        <v>PH</v>
      </c>
      <c r="T154" s="181" t="str">
        <f ca="1">IF(B154="","",IF(ISERROR(MATCH($J154,SorP!$B$1:$B$6226,0)),"",INDIRECT("'SorP'!$A$"&amp;MATCH($S154&amp;$J154,SorP!C:C,0))))</f>
        <v>PH-CAV</v>
      </c>
      <c r="U154" s="201"/>
      <c r="V154" s="226">
        <f>IF(C154="",NA(),IF(OR(C154="Smelter not listed",C154="Smelter not yet identified"),MATCH($B154&amp;$D154,'Smelter Look-up'!$J:$J,0),MATCH($B154&amp;$C154,'Smelter Look-up'!$J:$J,0)))</f>
        <v>491</v>
      </c>
      <c r="X154" s="227">
        <f t="shared" si="21"/>
        <v>0</v>
      </c>
      <c r="AB154" s="228" t="str">
        <f t="shared" si="22"/>
        <v>TinO.M. Manufacturing Philippines, Inc.</v>
      </c>
    </row>
    <row r="155" spans="1:28" s="227" customFormat="1" ht="63.75">
      <c r="A155" s="181" t="s">
        <v>15862</v>
      </c>
      <c r="B155" s="182" t="s">
        <v>1099</v>
      </c>
      <c r="C155" s="186" t="s">
        <v>15863</v>
      </c>
      <c r="D155" s="230"/>
      <c r="E155" s="182" t="s">
        <v>1074</v>
      </c>
      <c r="F155" s="182" t="s">
        <v>15862</v>
      </c>
      <c r="G155" s="182" t="s">
        <v>13177</v>
      </c>
      <c r="H155" s="183">
        <v>0</v>
      </c>
      <c r="I155" s="184" t="s">
        <v>1726</v>
      </c>
      <c r="J155" s="184" t="s">
        <v>12799</v>
      </c>
      <c r="K155" s="224"/>
      <c r="L155" s="224"/>
      <c r="M155" s="224"/>
      <c r="N155" s="224"/>
      <c r="O155" s="224"/>
      <c r="P155" s="185"/>
      <c r="Q155" s="225" t="s">
        <v>15887</v>
      </c>
      <c r="R155" s="182" t="str">
        <f ca="1">IF(ISERROR($V155),"",OFFSET('Smelter Look-up'!$C$4,$V155-4,0)&amp;"")</f>
        <v/>
      </c>
      <c r="S155" s="181" t="str">
        <f t="shared" ca="1" si="20"/>
        <v>ID</v>
      </c>
      <c r="T155" s="181" t="str">
        <f ca="1">IF(B155="","",IF(ISERROR(MATCH($J155,SorP!$B$1:$B$6226,0)),"",INDIRECT("'SorP'!$A$"&amp;MATCH($S155&amp;$J155,SorP!C:C,0))))</f>
        <v>ID-BB</v>
      </c>
      <c r="U155" s="201"/>
      <c r="V155" s="226" t="e">
        <f>IF(C155="",NA(),IF(OR(C155="Smelter not listed",C155="Smelter not yet identified"),MATCH($B155&amp;$D155,'Smelter Look-up'!$J:$J,0),MATCH($B155&amp;$C155,'Smelter Look-up'!$J:$J,0)))</f>
        <v>#N/A</v>
      </c>
      <c r="X155" s="227">
        <f t="shared" si="21"/>
        <v>0</v>
      </c>
      <c r="AB155" s="228" t="str">
        <f t="shared" si="22"/>
        <v>TinPT Artha Cipta Langgeng</v>
      </c>
    </row>
    <row r="156" spans="1:28" s="227" customFormat="1" ht="38.25">
      <c r="A156" s="181" t="s">
        <v>15881</v>
      </c>
      <c r="B156" s="182" t="s">
        <v>1099</v>
      </c>
      <c r="C156" s="186" t="s">
        <v>15882</v>
      </c>
      <c r="D156" s="230"/>
      <c r="E156" s="182" t="s">
        <v>1074</v>
      </c>
      <c r="F156" s="182" t="s">
        <v>15881</v>
      </c>
      <c r="G156" s="182" t="s">
        <v>13177</v>
      </c>
      <c r="H156" s="183">
        <v>0</v>
      </c>
      <c r="I156" s="184" t="s">
        <v>14986</v>
      </c>
      <c r="J156" s="184" t="s">
        <v>12799</v>
      </c>
      <c r="K156" s="224"/>
      <c r="L156" s="224"/>
      <c r="M156" s="224"/>
      <c r="N156" s="224"/>
      <c r="O156" s="224"/>
      <c r="P156" s="185"/>
      <c r="Q156" s="225" t="s">
        <v>15887</v>
      </c>
      <c r="R156" s="182" t="str">
        <f ca="1">IF(ISERROR($V156),"",OFFSET('Smelter Look-up'!$C$4,$V156-4,0)&amp;"")</f>
        <v/>
      </c>
      <c r="S156" s="181" t="str">
        <f t="shared" ca="1" si="20"/>
        <v>ID</v>
      </c>
      <c r="T156" s="181" t="str">
        <f ca="1">IF(B156="","",IF(ISERROR(MATCH($J156,SorP!$B$1:$B$6226,0)),"",INDIRECT("'SorP'!$A$"&amp;MATCH($S156&amp;$J156,SorP!C:C,0))))</f>
        <v>ID-BB</v>
      </c>
      <c r="U156" s="201"/>
      <c r="V156" s="226" t="e">
        <f>IF(C156="",NA(),IF(OR(C156="Smelter not listed",C156="Smelter not yet identified"),MATCH($B156&amp;$D156,'Smelter Look-up'!$J:$J,0),MATCH($B156&amp;$C156,'Smelter Look-up'!$J:$J,0)))</f>
        <v>#N/A</v>
      </c>
      <c r="X156" s="227">
        <f t="shared" si="21"/>
        <v>0</v>
      </c>
      <c r="AB156" s="228" t="str">
        <f t="shared" si="22"/>
        <v>TinPT Bukit Timah</v>
      </c>
    </row>
    <row r="157" spans="1:28" s="227" customFormat="1" ht="51">
      <c r="A157" s="181" t="s">
        <v>15856</v>
      </c>
      <c r="B157" s="182" t="s">
        <v>1099</v>
      </c>
      <c r="C157" s="186" t="s">
        <v>15857</v>
      </c>
      <c r="D157" s="230"/>
      <c r="E157" s="182" t="s">
        <v>1074</v>
      </c>
      <c r="F157" s="182" t="s">
        <v>15856</v>
      </c>
      <c r="G157" s="182" t="s">
        <v>13177</v>
      </c>
      <c r="H157" s="183">
        <v>0</v>
      </c>
      <c r="I157" s="184" t="s">
        <v>15858</v>
      </c>
      <c r="J157" s="184" t="s">
        <v>12799</v>
      </c>
      <c r="K157" s="224"/>
      <c r="L157" s="224"/>
      <c r="M157" s="224"/>
      <c r="N157" s="224"/>
      <c r="O157" s="224"/>
      <c r="P157" s="185"/>
      <c r="Q157" s="225" t="s">
        <v>15887</v>
      </c>
      <c r="R157" s="182" t="str">
        <f ca="1">IF(ISERROR($V157),"",OFFSET('Smelter Look-up'!$C$4,$V157-4,0)&amp;"")</f>
        <v/>
      </c>
      <c r="S157" s="181" t="str">
        <f t="shared" ca="1" si="20"/>
        <v>ID</v>
      </c>
      <c r="T157" s="181" t="str">
        <f ca="1">IF(B157="","",IF(ISERROR(MATCH($J157,SorP!$B$1:$B$6226,0)),"",INDIRECT("'SorP'!$A$"&amp;MATCH($S157&amp;$J157,SorP!C:C,0))))</f>
        <v>ID-BB</v>
      </c>
      <c r="U157" s="201"/>
      <c r="V157" s="226" t="e">
        <f>IF(C157="",NA(),IF(OR(C157="Smelter not listed",C157="Smelter not yet identified"),MATCH($B157&amp;$D157,'Smelter Look-up'!$J:$J,0),MATCH($B157&amp;$C157,'Smelter Look-up'!$J:$J,0)))</f>
        <v>#N/A</v>
      </c>
      <c r="X157" s="227">
        <f t="shared" si="21"/>
        <v>0</v>
      </c>
      <c r="AB157" s="228" t="str">
        <f t="shared" si="22"/>
        <v>TinPT Menara Cipta Mulia</v>
      </c>
    </row>
    <row r="158" spans="1:28" s="227" customFormat="1" ht="51">
      <c r="A158" s="181" t="s">
        <v>15714</v>
      </c>
      <c r="B158" s="182" t="s">
        <v>1099</v>
      </c>
      <c r="C158" s="186" t="s">
        <v>15713</v>
      </c>
      <c r="D158" s="230"/>
      <c r="E158" s="182" t="s">
        <v>1074</v>
      </c>
      <c r="F158" s="182" t="s">
        <v>15714</v>
      </c>
      <c r="G158" s="182" t="s">
        <v>13177</v>
      </c>
      <c r="H158" s="183">
        <v>0</v>
      </c>
      <c r="I158" s="184" t="s">
        <v>14986</v>
      </c>
      <c r="J158" s="184" t="s">
        <v>12799</v>
      </c>
      <c r="K158" s="224"/>
      <c r="L158" s="224"/>
      <c r="M158" s="224"/>
      <c r="N158" s="224"/>
      <c r="O158" s="224"/>
      <c r="P158" s="185"/>
      <c r="Q158" s="225" t="s">
        <v>15887</v>
      </c>
      <c r="R158" s="182" t="str">
        <f ca="1">IF(ISERROR($V158),"",OFFSET('Smelter Look-up'!$C$4,$V158-4,0)&amp;"")</f>
        <v>PT Prima Timah Utama</v>
      </c>
      <c r="S158" s="181" t="str">
        <f t="shared" ca="1" si="20"/>
        <v>ID</v>
      </c>
      <c r="T158" s="181" t="str">
        <f ca="1">IF(B158="","",IF(ISERROR(MATCH($J158,SorP!$B$1:$B$6226,0)),"",INDIRECT("'SorP'!$A$"&amp;MATCH($S158&amp;$J158,SorP!C:C,0))))</f>
        <v>ID-BB</v>
      </c>
      <c r="U158" s="201"/>
      <c r="V158" s="226">
        <f>IF(C158="",NA(),IF(OR(C158="Smelter not listed",C158="Smelter not yet identified"),MATCH($B158&amp;$D158,'Smelter Look-up'!$J:$J,0),MATCH($B158&amp;$C158,'Smelter Look-up'!$J:$J,0)))</f>
        <v>505</v>
      </c>
      <c r="X158" s="227">
        <f t="shared" si="21"/>
        <v>0</v>
      </c>
      <c r="AB158" s="228" t="str">
        <f t="shared" si="22"/>
        <v>TinPT Prima Timah Utama</v>
      </c>
    </row>
    <row r="159" spans="1:28" s="227" customFormat="1" ht="51">
      <c r="A159" s="181" t="s">
        <v>15875</v>
      </c>
      <c r="B159" s="182" t="s">
        <v>1099</v>
      </c>
      <c r="C159" s="186" t="s">
        <v>15876</v>
      </c>
      <c r="D159" s="230"/>
      <c r="E159" s="182" t="s">
        <v>1074</v>
      </c>
      <c r="F159" s="182" t="s">
        <v>15875</v>
      </c>
      <c r="G159" s="182" t="s">
        <v>13177</v>
      </c>
      <c r="H159" s="183">
        <v>0</v>
      </c>
      <c r="I159" s="184" t="s">
        <v>15877</v>
      </c>
      <c r="J159" s="184" t="s">
        <v>12799</v>
      </c>
      <c r="K159" s="224"/>
      <c r="L159" s="224"/>
      <c r="M159" s="224"/>
      <c r="N159" s="224"/>
      <c r="O159" s="224"/>
      <c r="P159" s="185"/>
      <c r="Q159" s="225" t="s">
        <v>15887</v>
      </c>
      <c r="R159" s="182" t="str">
        <f ca="1">IF(ISERROR($V159),"",OFFSET('Smelter Look-up'!$C$4,$V159-4,0)&amp;"")</f>
        <v/>
      </c>
      <c r="S159" s="181" t="str">
        <f t="shared" ca="1" si="20"/>
        <v>ID</v>
      </c>
      <c r="T159" s="181" t="str">
        <f ca="1">IF(B159="","",IF(ISERROR(MATCH($J159,SorP!$B$1:$B$6226,0)),"",INDIRECT("'SorP'!$A$"&amp;MATCH($S159&amp;$J159,SorP!C:C,0))))</f>
        <v>ID-BB</v>
      </c>
      <c r="U159" s="201"/>
      <c r="V159" s="226" t="e">
        <f>IF(C159="",NA(),IF(OR(C159="Smelter not listed",C159="Smelter not yet identified"),MATCH($B159&amp;$D159,'Smelter Look-up'!$J:$J,0),MATCH($B159&amp;$C159,'Smelter Look-up'!$J:$J,0)))</f>
        <v>#N/A</v>
      </c>
      <c r="X159" s="227">
        <f t="shared" si="21"/>
        <v>0</v>
      </c>
      <c r="AB159" s="228" t="str">
        <f t="shared" si="22"/>
        <v>TinPT Rajawali Rimba Perkasa</v>
      </c>
    </row>
    <row r="160" spans="1:28" s="227" customFormat="1" ht="76.5">
      <c r="A160" s="181" t="s">
        <v>1771</v>
      </c>
      <c r="B160" s="182" t="s">
        <v>1099</v>
      </c>
      <c r="C160" s="186" t="s">
        <v>12381</v>
      </c>
      <c r="D160" s="230"/>
      <c r="E160" s="182" t="s">
        <v>1065</v>
      </c>
      <c r="F160" s="182" t="s">
        <v>1771</v>
      </c>
      <c r="G160" s="182" t="s">
        <v>13177</v>
      </c>
      <c r="H160" s="183">
        <v>0</v>
      </c>
      <c r="I160" s="184" t="s">
        <v>1683</v>
      </c>
      <c r="J160" s="184" t="s">
        <v>1717</v>
      </c>
      <c r="K160" s="224"/>
      <c r="L160" s="224"/>
      <c r="M160" s="224"/>
      <c r="N160" s="224"/>
      <c r="O160" s="224"/>
      <c r="P160" s="185"/>
      <c r="Q160" s="225" t="s">
        <v>15887</v>
      </c>
      <c r="R160" s="182" t="str">
        <f ca="1">IF(ISERROR($V160),"",OFFSET('Smelter Look-up'!$C$4,$V160-4,0)&amp;"")</f>
        <v>Resind Industria e Comercio Ltda.</v>
      </c>
      <c r="S160" s="181" t="str">
        <f t="shared" ca="1" si="20"/>
        <v>BR</v>
      </c>
      <c r="T160" s="181" t="str">
        <f ca="1">IF(B160="","",IF(ISERROR(MATCH($J160,SorP!$B$1:$B$6226,0)),"",INDIRECT("'SorP'!$A$"&amp;MATCH($S160&amp;$J160,SorP!C:C,0))))</f>
        <v>BR-MG</v>
      </c>
      <c r="U160" s="201"/>
      <c r="V160" s="226">
        <f>IF(C160="",NA(),IF(OR(C160="Smelter not listed",C160="Smelter not yet identified"),MATCH($B160&amp;$D160,'Smelter Look-up'!$J:$J,0),MATCH($B160&amp;$C160,'Smelter Look-up'!$J:$J,0)))</f>
        <v>512</v>
      </c>
      <c r="X160" s="227">
        <f t="shared" si="21"/>
        <v>0</v>
      </c>
      <c r="AB160" s="228" t="str">
        <f t="shared" si="22"/>
        <v>TinResind Industria e Comercio Ltda.</v>
      </c>
    </row>
    <row r="161" spans="1:28" s="227" customFormat="1" ht="51">
      <c r="A161" s="181" t="s">
        <v>13122</v>
      </c>
      <c r="B161" s="182" t="s">
        <v>1099</v>
      </c>
      <c r="C161" s="186" t="s">
        <v>13121</v>
      </c>
      <c r="D161" s="230"/>
      <c r="E161" s="182" t="s">
        <v>2384</v>
      </c>
      <c r="F161" s="182" t="s">
        <v>13122</v>
      </c>
      <c r="G161" s="182" t="s">
        <v>13177</v>
      </c>
      <c r="H161" s="183">
        <v>0</v>
      </c>
      <c r="I161" s="184" t="s">
        <v>13123</v>
      </c>
      <c r="J161" s="184" t="s">
        <v>1699</v>
      </c>
      <c r="K161" s="224"/>
      <c r="L161" s="224"/>
      <c r="M161" s="224"/>
      <c r="N161" s="224"/>
      <c r="O161" s="224"/>
      <c r="P161" s="185"/>
      <c r="Q161" s="225" t="s">
        <v>15887</v>
      </c>
      <c r="R161" s="182" t="str">
        <f ca="1">IF(ISERROR($V161),"",OFFSET('Smelter Look-up'!$C$4,$V161-4,0)&amp;"")</f>
        <v>Tin Technology &amp; Refining</v>
      </c>
      <c r="S161" s="181" t="str">
        <f t="shared" ca="1" si="20"/>
        <v>US</v>
      </c>
      <c r="T161" s="181" t="str">
        <f ca="1">IF(B161="","",IF(ISERROR(MATCH($J161,SorP!$B$1:$B$6226,0)),"",INDIRECT("'SorP'!$A$"&amp;MATCH($S161&amp;$J161,SorP!C:C,0))))</f>
        <v>US-PA</v>
      </c>
      <c r="U161" s="201"/>
      <c r="V161" s="226">
        <f>IF(C161="",NA(),IF(OR(C161="Smelter not listed",C161="Smelter not yet identified"),MATCH($B161&amp;$D161,'Smelter Look-up'!$J:$J,0),MATCH($B161&amp;$C161,'Smelter Look-up'!$J:$J,0)))</f>
        <v>525</v>
      </c>
      <c r="X161" s="227">
        <f t="shared" si="21"/>
        <v>0</v>
      </c>
      <c r="AB161" s="228" t="str">
        <f t="shared" si="22"/>
        <v>TinTin Technology &amp; Refining</v>
      </c>
    </row>
    <row r="162" spans="1:28" s="227" customFormat="1" ht="51">
      <c r="A162" s="181" t="s">
        <v>15864</v>
      </c>
      <c r="B162" s="182" t="s">
        <v>1099</v>
      </c>
      <c r="C162" s="186" t="s">
        <v>15865</v>
      </c>
      <c r="D162" s="230"/>
      <c r="E162" s="182" t="s">
        <v>1074</v>
      </c>
      <c r="F162" s="182" t="s">
        <v>15864</v>
      </c>
      <c r="G162" s="182" t="s">
        <v>13177</v>
      </c>
      <c r="H162" s="183">
        <v>0</v>
      </c>
      <c r="I162" s="184" t="s">
        <v>15866</v>
      </c>
      <c r="J162" s="184" t="s">
        <v>12799</v>
      </c>
      <c r="K162" s="224"/>
      <c r="L162" s="224"/>
      <c r="M162" s="224"/>
      <c r="N162" s="224"/>
      <c r="O162" s="224"/>
      <c r="P162" s="185"/>
      <c r="Q162" s="225" t="s">
        <v>15887</v>
      </c>
      <c r="R162" s="182" t="str">
        <f ca="1">IF(ISERROR($V162),"",OFFSET('Smelter Look-up'!$C$4,$V162-4,0)&amp;"")</f>
        <v/>
      </c>
      <c r="S162" s="181" t="str">
        <f t="shared" ca="1" si="20"/>
        <v>ID</v>
      </c>
      <c r="T162" s="181" t="str">
        <f ca="1">IF(B162="","",IF(ISERROR(MATCH($J162,SorP!$B$1:$B$6226,0)),"",INDIRECT("'SorP'!$A$"&amp;MATCH($S162&amp;$J162,SorP!C:C,0))))</f>
        <v>ID-BB</v>
      </c>
      <c r="U162" s="201"/>
      <c r="V162" s="226" t="e">
        <f>IF(C162="",NA(),IF(OR(C162="Smelter not listed",C162="Smelter not yet identified"),MATCH($B162&amp;$D162,'Smelter Look-up'!$J:$J,0),MATCH($B162&amp;$C162,'Smelter Look-up'!$J:$J,0)))</f>
        <v>#N/A</v>
      </c>
      <c r="X162" s="227">
        <f t="shared" si="21"/>
        <v>0</v>
      </c>
      <c r="AB162" s="228" t="str">
        <f t="shared" si="22"/>
        <v>TinPT Babel Inti Perkasa</v>
      </c>
    </row>
    <row r="163" spans="1:28" s="227" customFormat="1" ht="51">
      <c r="A163" s="181" t="s">
        <v>15879</v>
      </c>
      <c r="B163" s="182" t="s">
        <v>1099</v>
      </c>
      <c r="C163" s="186" t="s">
        <v>15880</v>
      </c>
      <c r="D163" s="230"/>
      <c r="E163" s="182" t="s">
        <v>1074</v>
      </c>
      <c r="F163" s="182" t="s">
        <v>15879</v>
      </c>
      <c r="G163" s="182" t="s">
        <v>13177</v>
      </c>
      <c r="H163" s="183">
        <v>0</v>
      </c>
      <c r="I163" s="184" t="s">
        <v>14986</v>
      </c>
      <c r="J163" s="184" t="s">
        <v>12799</v>
      </c>
      <c r="K163" s="224"/>
      <c r="L163" s="224"/>
      <c r="M163" s="224"/>
      <c r="N163" s="224"/>
      <c r="O163" s="224"/>
      <c r="P163" s="185"/>
      <c r="Q163" s="225" t="s">
        <v>15887</v>
      </c>
      <c r="R163" s="182" t="str">
        <f ca="1">IF(ISERROR($V163),"",OFFSET('Smelter Look-up'!$C$4,$V163-4,0)&amp;"")</f>
        <v/>
      </c>
      <c r="S163" s="181" t="str">
        <f t="shared" ca="1" si="20"/>
        <v>ID</v>
      </c>
      <c r="T163" s="181" t="str">
        <f ca="1">IF(B163="","",IF(ISERROR(MATCH($J163,SorP!$B$1:$B$6226,0)),"",INDIRECT("'SorP'!$A$"&amp;MATCH($S163&amp;$J163,SorP!C:C,0))))</f>
        <v>ID-BB</v>
      </c>
      <c r="U163" s="201"/>
      <c r="V163" s="226" t="e">
        <f>IF(C163="",NA(),IF(OR(C163="Smelter not listed",C163="Smelter not yet identified"),MATCH($B163&amp;$D163,'Smelter Look-up'!$J:$J,0),MATCH($B163&amp;$C163,'Smelter Look-up'!$J:$J,0)))</f>
        <v>#N/A</v>
      </c>
      <c r="X163" s="227">
        <f t="shared" si="21"/>
        <v>0</v>
      </c>
      <c r="AB163" s="228" t="str">
        <f t="shared" si="22"/>
        <v>TinPT Tinindo Inter Nusa</v>
      </c>
    </row>
    <row r="164" spans="1:28" s="227" customFormat="1" ht="51">
      <c r="A164" s="181" t="s">
        <v>15890</v>
      </c>
      <c r="B164" s="182" t="s">
        <v>1099</v>
      </c>
      <c r="C164" s="186" t="s">
        <v>15891</v>
      </c>
      <c r="D164" s="230"/>
      <c r="E164" s="182" t="s">
        <v>1074</v>
      </c>
      <c r="F164" s="182" t="s">
        <v>15890</v>
      </c>
      <c r="G164" s="182" t="s">
        <v>13177</v>
      </c>
      <c r="H164" s="183">
        <v>0</v>
      </c>
      <c r="I164" s="184" t="s">
        <v>15892</v>
      </c>
      <c r="J164" s="184" t="s">
        <v>12799</v>
      </c>
      <c r="K164" s="224"/>
      <c r="L164" s="224"/>
      <c r="M164" s="224"/>
      <c r="N164" s="224"/>
      <c r="O164" s="224"/>
      <c r="P164" s="185"/>
      <c r="Q164" s="225" t="s">
        <v>15887</v>
      </c>
      <c r="R164" s="182" t="str">
        <f ca="1">IF(ISERROR($V164),"",OFFSET('Smelter Look-up'!$C$4,$V164-4,0)&amp;"")</f>
        <v/>
      </c>
      <c r="S164" s="181" t="str">
        <f t="shared" ca="1" si="20"/>
        <v>ID</v>
      </c>
      <c r="T164" s="181" t="str">
        <f ca="1">IF(B164="","",IF(ISERROR(MATCH($J164,SorP!$B$1:$B$6226,0)),"",INDIRECT("'SorP'!$A$"&amp;MATCH($S164&amp;$J164,SorP!C:C,0))))</f>
        <v>ID-BB</v>
      </c>
      <c r="U164" s="201"/>
      <c r="V164" s="226" t="e">
        <f>IF(C164="",NA(),IF(OR(C164="Smelter not listed",C164="Smelter not yet identified"),MATCH($B164&amp;$D164,'Smelter Look-up'!$J:$J,0),MATCH($B164&amp;$C164,'Smelter Look-up'!$J:$J,0)))</f>
        <v>#N/A</v>
      </c>
      <c r="X164" s="227">
        <f t="shared" si="21"/>
        <v>0</v>
      </c>
      <c r="AB164" s="228" t="str">
        <f t="shared" si="22"/>
        <v>TinPT Bangka Tin Industry</v>
      </c>
    </row>
    <row r="165" spans="1:28" s="227" customFormat="1" ht="76.5">
      <c r="A165" s="181" t="s">
        <v>764</v>
      </c>
      <c r="B165" s="182" t="s">
        <v>1099</v>
      </c>
      <c r="C165" s="186" t="s">
        <v>2484</v>
      </c>
      <c r="D165" s="230"/>
      <c r="E165" s="182" t="s">
        <v>1065</v>
      </c>
      <c r="F165" s="182" t="s">
        <v>764</v>
      </c>
      <c r="G165" s="182" t="s">
        <v>13177</v>
      </c>
      <c r="H165" s="183">
        <v>0</v>
      </c>
      <c r="I165" s="184" t="s">
        <v>1725</v>
      </c>
      <c r="J165" s="184" t="s">
        <v>1729</v>
      </c>
      <c r="K165" s="224"/>
      <c r="L165" s="224"/>
      <c r="M165" s="224"/>
      <c r="N165" s="224"/>
      <c r="O165" s="224"/>
      <c r="P165" s="185"/>
      <c r="Q165" s="225" t="s">
        <v>15887</v>
      </c>
      <c r="R165" s="182" t="str">
        <f ca="1">IF(ISERROR($V165),"",OFFSET('Smelter Look-up'!$C$4,$V165-4,0)&amp;"")</f>
        <v>White Solder Metalurgia e Mineracao Ltda.</v>
      </c>
      <c r="S165" s="181" t="str">
        <f t="shared" ca="1" si="20"/>
        <v>BR</v>
      </c>
      <c r="T165" s="181" t="str">
        <f ca="1">IF(B165="","",IF(ISERROR(MATCH($J165,SorP!$B$1:$B$6226,0)),"",INDIRECT("'SorP'!$A$"&amp;MATCH($S165&amp;$J165,SorP!C:C,0))))</f>
        <v>BR-RO</v>
      </c>
      <c r="U165" s="201"/>
      <c r="V165" s="226">
        <f>IF(C165="",NA(),IF(OR(C165="Smelter not listed",C165="Smelter not yet identified"),MATCH($B165&amp;$D165,'Smelter Look-up'!$J:$J,0),MATCH($B165&amp;$C165,'Smelter Look-up'!$J:$J,0)))</f>
        <v>530</v>
      </c>
      <c r="X165" s="227">
        <f t="shared" si="21"/>
        <v>0</v>
      </c>
      <c r="AB165" s="228" t="str">
        <f t="shared" si="22"/>
        <v>TinWhite Solder Metalurgia e Mineracao Ltda.</v>
      </c>
    </row>
    <row r="166" spans="1:28" s="227" customFormat="1" ht="51">
      <c r="A166" s="181" t="s">
        <v>746</v>
      </c>
      <c r="B166" s="182" t="s">
        <v>1099</v>
      </c>
      <c r="C166" s="186" t="s">
        <v>12373</v>
      </c>
      <c r="D166" s="230"/>
      <c r="E166" s="182" t="s">
        <v>1065</v>
      </c>
      <c r="F166" s="182" t="s">
        <v>746</v>
      </c>
      <c r="G166" s="182" t="s">
        <v>13177</v>
      </c>
      <c r="H166" s="183">
        <v>0</v>
      </c>
      <c r="I166" s="184" t="s">
        <v>1725</v>
      </c>
      <c r="J166" s="184" t="s">
        <v>1729</v>
      </c>
      <c r="K166" s="224"/>
      <c r="L166" s="224"/>
      <c r="M166" s="224"/>
      <c r="N166" s="224"/>
      <c r="O166" s="224"/>
      <c r="P166" s="185"/>
      <c r="Q166" s="225" t="s">
        <v>15887</v>
      </c>
      <c r="R166" s="182" t="str">
        <f ca="1">IF(ISERROR($V166),"",OFFSET('Smelter Look-up'!$C$4,$V166-4,0)&amp;"")</f>
        <v>Estanho de Rondonia S.A.</v>
      </c>
      <c r="S166" s="181" t="str">
        <f t="shared" ref="S166:S196" ca="1" si="23">IF(B166="","",IF(ISERROR(MATCH($E166,CL,0)),"Unknown",INDIRECT("'C'!$A$"&amp;MATCH($E166,CL,0)+1)))</f>
        <v>BR</v>
      </c>
      <c r="T166" s="181" t="str">
        <f ca="1">IF(B166="","",IF(ISERROR(MATCH($J166,SorP!$B$1:$B$6226,0)),"",INDIRECT("'SorP'!$A$"&amp;MATCH($S166&amp;$J166,SorP!C:C,0))))</f>
        <v>BR-RO</v>
      </c>
      <c r="U166" s="201"/>
      <c r="V166" s="226">
        <f>IF(C166="",NA(),IF(OR(C166="Smelter not listed",C166="Smelter not yet identified"),MATCH($B166&amp;$D166,'Smelter Look-up'!$J:$J,0),MATCH($B166&amp;$C166,'Smelter Look-up'!$J:$J,0)))</f>
        <v>432</v>
      </c>
      <c r="X166" s="227">
        <f t="shared" ref="X166:X196" si="24">IF(AND(C166="Smelter not listed",OR(LEN(D166)=0,LEN(E166)=0)),1,0)</f>
        <v>0</v>
      </c>
      <c r="AB166" s="228" t="str">
        <f t="shared" ref="AB166:AB196" si="25">B166&amp;C166</f>
        <v>TinEstanho de Rondonia S.A.</v>
      </c>
    </row>
    <row r="167" spans="1:28" s="227" customFormat="1" ht="38.25">
      <c r="A167" s="181" t="s">
        <v>15625</v>
      </c>
      <c r="B167" s="182" t="s">
        <v>1099</v>
      </c>
      <c r="C167" s="186" t="s">
        <v>15624</v>
      </c>
      <c r="D167" s="230"/>
      <c r="E167" s="182" t="s">
        <v>1074</v>
      </c>
      <c r="F167" s="182" t="s">
        <v>15625</v>
      </c>
      <c r="G167" s="182" t="s">
        <v>13177</v>
      </c>
      <c r="H167" s="183">
        <v>0</v>
      </c>
      <c r="I167" s="184" t="s">
        <v>14986</v>
      </c>
      <c r="J167" s="184" t="s">
        <v>12799</v>
      </c>
      <c r="K167" s="224"/>
      <c r="L167" s="224"/>
      <c r="M167" s="224"/>
      <c r="N167" s="224"/>
      <c r="O167" s="224"/>
      <c r="P167" s="185"/>
      <c r="Q167" s="225" t="s">
        <v>15887</v>
      </c>
      <c r="R167" s="182" t="str">
        <f ca="1">IF(ISERROR($V167),"",OFFSET('Smelter Look-up'!$C$4,$V167-4,0)&amp;"")</f>
        <v>PT Rajehan Ariq</v>
      </c>
      <c r="S167" s="181" t="str">
        <f t="shared" ca="1" si="23"/>
        <v>ID</v>
      </c>
      <c r="T167" s="181" t="str">
        <f ca="1">IF(B167="","",IF(ISERROR(MATCH($J167,SorP!$B$1:$B$6226,0)),"",INDIRECT("'SorP'!$A$"&amp;MATCH($S167&amp;$J167,SorP!C:C,0))))</f>
        <v>ID-BB</v>
      </c>
      <c r="U167" s="201"/>
      <c r="V167" s="226">
        <f>IF(C167="",NA(),IF(OR(C167="Smelter not listed",C167="Smelter not yet identified"),MATCH($B167&amp;$D167,'Smelter Look-up'!$J:$J,0),MATCH($B167&amp;$C167,'Smelter Look-up'!$J:$J,0)))</f>
        <v>507</v>
      </c>
      <c r="X167" s="227">
        <f t="shared" si="24"/>
        <v>0</v>
      </c>
      <c r="AB167" s="228" t="str">
        <f t="shared" si="25"/>
        <v>TinPT Rajehan Ariq</v>
      </c>
    </row>
    <row r="168" spans="1:28" s="227" customFormat="1" ht="51">
      <c r="A168" s="181" t="s">
        <v>15307</v>
      </c>
      <c r="B168" s="182" t="s">
        <v>1099</v>
      </c>
      <c r="C168" s="186" t="s">
        <v>15306</v>
      </c>
      <c r="D168" s="230"/>
      <c r="E168" s="182" t="s">
        <v>1074</v>
      </c>
      <c r="F168" s="182" t="s">
        <v>15307</v>
      </c>
      <c r="G168" s="182" t="s">
        <v>13177</v>
      </c>
      <c r="H168" s="183">
        <v>0</v>
      </c>
      <c r="I168" s="184" t="s">
        <v>15308</v>
      </c>
      <c r="J168" s="184" t="s">
        <v>1748</v>
      </c>
      <c r="K168" s="224"/>
      <c r="L168" s="224"/>
      <c r="M168" s="224"/>
      <c r="N168" s="224"/>
      <c r="O168" s="224"/>
      <c r="P168" s="185"/>
      <c r="Q168" s="225" t="s">
        <v>15887</v>
      </c>
      <c r="R168" s="182" t="str">
        <f ca="1">IF(ISERROR($V168),"",OFFSET('Smelter Look-up'!$C$4,$V168-4,0)&amp;"")</f>
        <v>PT Cipta Persada Mulia</v>
      </c>
      <c r="S168" s="181" t="str">
        <f t="shared" ca="1" si="23"/>
        <v>ID</v>
      </c>
      <c r="T168" s="181" t="str">
        <f ca="1">IF(B168="","",IF(ISERROR(MATCH($J168,SorP!$B$1:$B$6226,0)),"",INDIRECT("'SorP'!$A$"&amp;MATCH($S168&amp;$J168,SorP!C:C,0))))</f>
        <v>ID-KR</v>
      </c>
      <c r="U168" s="201"/>
      <c r="V168" s="226">
        <f>IF(C168="",NA(),IF(OR(C168="Smelter not listed",C168="Smelter not yet identified"),MATCH($B168&amp;$D168,'Smelter Look-up'!$J:$J,0),MATCH($B168&amp;$C168,'Smelter Look-up'!$J:$J,0)))</f>
        <v>501</v>
      </c>
      <c r="X168" s="227">
        <f t="shared" si="24"/>
        <v>0</v>
      </c>
      <c r="AB168" s="228" t="str">
        <f t="shared" si="25"/>
        <v>TinPT Cipta Persada Mulia</v>
      </c>
    </row>
    <row r="169" spans="1:28" s="227" customFormat="1" ht="38.25">
      <c r="A169" s="181" t="s">
        <v>1774</v>
      </c>
      <c r="B169" s="182" t="s">
        <v>1099</v>
      </c>
      <c r="C169" s="186" t="s">
        <v>15342</v>
      </c>
      <c r="D169" s="230"/>
      <c r="E169" s="182" t="s">
        <v>1071</v>
      </c>
      <c r="F169" s="182" t="s">
        <v>1774</v>
      </c>
      <c r="G169" s="182" t="s">
        <v>13177</v>
      </c>
      <c r="H169" s="183">
        <v>0</v>
      </c>
      <c r="I169" s="184" t="s">
        <v>1775</v>
      </c>
      <c r="J169" s="184" t="s">
        <v>12359</v>
      </c>
      <c r="K169" s="224"/>
      <c r="L169" s="224"/>
      <c r="M169" s="224"/>
      <c r="N169" s="224"/>
      <c r="O169" s="224"/>
      <c r="P169" s="185"/>
      <c r="Q169" s="225" t="s">
        <v>15887</v>
      </c>
      <c r="R169" s="182" t="str">
        <f ca="1">IF(ISERROR($V169),"",OFFSET('Smelter Look-up'!$C$4,$V169-4,0)&amp;"")</f>
        <v>Aurubis Berango</v>
      </c>
      <c r="S169" s="181" t="str">
        <f t="shared" ca="1" si="23"/>
        <v>ES</v>
      </c>
      <c r="T169" s="181" t="str">
        <f ca="1">IF(B169="","",IF(ISERROR(MATCH($J169,SorP!$B$1:$B$6226,0)),"",INDIRECT("'SorP'!$A$"&amp;MATCH($S169&amp;$J169,SorP!C:C,0))))</f>
        <v>ES-BI</v>
      </c>
      <c r="U169" s="201"/>
      <c r="V169" s="226">
        <f>IF(C169="",NA(),IF(OR(C169="Smelter not listed",C169="Smelter not yet identified"),MATCH($B169&amp;$D169,'Smelter Look-up'!$J:$J,0),MATCH($B169&amp;$C169,'Smelter Look-up'!$J:$J,0)))</f>
        <v>405</v>
      </c>
      <c r="X169" s="227">
        <f t="shared" si="24"/>
        <v>0</v>
      </c>
      <c r="AB169" s="228" t="str">
        <f t="shared" si="25"/>
        <v>TinAurubis Berango</v>
      </c>
    </row>
    <row r="170" spans="1:28" s="227" customFormat="1" ht="63.75">
      <c r="A170" s="181" t="s">
        <v>15847</v>
      </c>
      <c r="B170" s="182" t="s">
        <v>1099</v>
      </c>
      <c r="C170" s="186" t="s">
        <v>15848</v>
      </c>
      <c r="D170" s="230"/>
      <c r="E170" s="182" t="s">
        <v>1074</v>
      </c>
      <c r="F170" s="182" t="s">
        <v>15847</v>
      </c>
      <c r="G170" s="182" t="s">
        <v>13177</v>
      </c>
      <c r="H170" s="183">
        <v>0</v>
      </c>
      <c r="I170" s="184" t="s">
        <v>15849</v>
      </c>
      <c r="J170" s="184" t="s">
        <v>12799</v>
      </c>
      <c r="K170" s="224"/>
      <c r="L170" s="224"/>
      <c r="M170" s="224"/>
      <c r="N170" s="224"/>
      <c r="O170" s="224"/>
      <c r="P170" s="185"/>
      <c r="Q170" s="225" t="s">
        <v>15887</v>
      </c>
      <c r="R170" s="182" t="str">
        <f ca="1">IF(ISERROR($V170),"",OFFSET('Smelter Look-up'!$C$4,$V170-4,0)&amp;"")</f>
        <v/>
      </c>
      <c r="S170" s="181" t="str">
        <f t="shared" ca="1" si="23"/>
        <v>ID</v>
      </c>
      <c r="T170" s="181" t="str">
        <f ca="1">IF(B170="","",IF(ISERROR(MATCH($J170,SorP!$B$1:$B$6226,0)),"",INDIRECT("'SorP'!$A$"&amp;MATCH($S170&amp;$J170,SorP!C:C,0))))</f>
        <v>ID-BB</v>
      </c>
      <c r="U170" s="201"/>
      <c r="V170" s="226" t="e">
        <f>IF(C170="",NA(),IF(OR(C170="Smelter not listed",C170="Smelter not yet identified"),MATCH($B170&amp;$D170,'Smelter Look-up'!$J:$J,0),MATCH($B170&amp;$C170,'Smelter Look-up'!$J:$J,0)))</f>
        <v>#N/A</v>
      </c>
      <c r="X170" s="227">
        <f t="shared" si="24"/>
        <v>0</v>
      </c>
      <c r="AB170" s="228" t="str">
        <f t="shared" si="25"/>
        <v>TinPT Sukses Inti Makmur (SIM)</v>
      </c>
    </row>
    <row r="171" spans="1:28" s="227" customFormat="1" ht="76.5">
      <c r="A171" s="181" t="s">
        <v>15629</v>
      </c>
      <c r="B171" s="182" t="s">
        <v>1099</v>
      </c>
      <c r="C171" s="186" t="s">
        <v>15628</v>
      </c>
      <c r="D171" s="230"/>
      <c r="E171" s="182" t="s">
        <v>1069</v>
      </c>
      <c r="F171" s="182" t="s">
        <v>15629</v>
      </c>
      <c r="G171" s="182" t="s">
        <v>13177</v>
      </c>
      <c r="H171" s="183">
        <v>0</v>
      </c>
      <c r="I171" s="184" t="s">
        <v>1732</v>
      </c>
      <c r="J171" s="184" t="s">
        <v>13531</v>
      </c>
      <c r="K171" s="224"/>
      <c r="L171" s="224"/>
      <c r="M171" s="224"/>
      <c r="N171" s="224"/>
      <c r="O171" s="224"/>
      <c r="P171" s="185"/>
      <c r="Q171" s="225" t="s">
        <v>15887</v>
      </c>
      <c r="R171" s="182" t="str">
        <f ca="1">IF(ISERROR($V171),"",OFFSET('Smelter Look-up'!$C$4,$V171-4,0)&amp;"")</f>
        <v>HuiChang Hill Tin Industry Co., Ltd.</v>
      </c>
      <c r="S171" s="181" t="str">
        <f t="shared" ca="1" si="23"/>
        <v>CN</v>
      </c>
      <c r="T171" s="181" t="str">
        <f ca="1">IF(B171="","",IF(ISERROR(MATCH($J171,SorP!$B$1:$B$6226,0)),"",INDIRECT("'SorP'!$A$"&amp;MATCH($S171&amp;$J171,SorP!C:C,0))))</f>
        <v>CN-JX</v>
      </c>
      <c r="U171" s="201"/>
      <c r="V171" s="226">
        <f>IF(C171="",NA(),IF(OR(C171="Smelter not listed",C171="Smelter not yet identified"),MATCH($B171&amp;$D171,'Smelter Look-up'!$J:$J,0),MATCH($B171&amp;$C171,'Smelter Look-up'!$J:$J,0)))</f>
        <v>453</v>
      </c>
      <c r="X171" s="227">
        <f t="shared" si="24"/>
        <v>0</v>
      </c>
      <c r="AB171" s="228" t="str">
        <f t="shared" si="25"/>
        <v>TinHuiChang Hill Tin Industry Co., Ltd.</v>
      </c>
    </row>
    <row r="172" spans="1:28" s="227" customFormat="1" ht="63.75">
      <c r="A172" s="181" t="s">
        <v>13775</v>
      </c>
      <c r="B172" s="182" t="s">
        <v>1099</v>
      </c>
      <c r="C172" s="186" t="s">
        <v>13761</v>
      </c>
      <c r="D172" s="230"/>
      <c r="E172" s="182" t="s">
        <v>1074</v>
      </c>
      <c r="F172" s="182" t="s">
        <v>13775</v>
      </c>
      <c r="G172" s="182" t="s">
        <v>13177</v>
      </c>
      <c r="H172" s="183">
        <v>0</v>
      </c>
      <c r="I172" s="184" t="s">
        <v>14989</v>
      </c>
      <c r="J172" s="184" t="s">
        <v>12799</v>
      </c>
      <c r="K172" s="224"/>
      <c r="L172" s="224"/>
      <c r="M172" s="224"/>
      <c r="N172" s="224"/>
      <c r="O172" s="224"/>
      <c r="P172" s="185"/>
      <c r="Q172" s="225" t="s">
        <v>15887</v>
      </c>
      <c r="R172" s="182" t="str">
        <f ca="1">IF(ISERROR($V172),"",OFFSET('Smelter Look-up'!$C$4,$V172-4,0)&amp;"")</f>
        <v>PT Mitra Sukses Globalindo</v>
      </c>
      <c r="S172" s="181" t="str">
        <f t="shared" ca="1" si="23"/>
        <v>ID</v>
      </c>
      <c r="T172" s="181" t="str">
        <f ca="1">IF(B172="","",IF(ISERROR(MATCH($J172,SorP!$B$1:$B$6226,0)),"",INDIRECT("'SorP'!$A$"&amp;MATCH($S172&amp;$J172,SorP!C:C,0))))</f>
        <v>ID-BB</v>
      </c>
      <c r="U172" s="201"/>
      <c r="V172" s="226">
        <f>IF(C172="",NA(),IF(OR(C172="Smelter not listed",C172="Smelter not yet identified"),MATCH($B172&amp;$D172,'Smelter Look-up'!$J:$J,0),MATCH($B172&amp;$C172,'Smelter Look-up'!$J:$J,0)))</f>
        <v>503</v>
      </c>
      <c r="X172" s="227">
        <f t="shared" si="24"/>
        <v>0</v>
      </c>
      <c r="AB172" s="228" t="str">
        <f t="shared" si="25"/>
        <v>TinPT Mitra Sukses Globalindo</v>
      </c>
    </row>
    <row r="173" spans="1:28" s="227" customFormat="1" ht="102">
      <c r="A173" s="181" t="s">
        <v>14961</v>
      </c>
      <c r="B173" s="182" t="s">
        <v>1099</v>
      </c>
      <c r="C173" s="186" t="s">
        <v>14960</v>
      </c>
      <c r="D173" s="230"/>
      <c r="E173" s="182" t="s">
        <v>1065</v>
      </c>
      <c r="F173" s="182" t="s">
        <v>14961</v>
      </c>
      <c r="G173" s="182" t="s">
        <v>13177</v>
      </c>
      <c r="H173" s="183">
        <v>0</v>
      </c>
      <c r="I173" s="184" t="s">
        <v>14987</v>
      </c>
      <c r="J173" s="184" t="s">
        <v>1640</v>
      </c>
      <c r="K173" s="224"/>
      <c r="L173" s="224"/>
      <c r="M173" s="224"/>
      <c r="N173" s="224"/>
      <c r="O173" s="224"/>
      <c r="P173" s="185"/>
      <c r="Q173" s="225" t="s">
        <v>15887</v>
      </c>
      <c r="R173" s="182" t="str">
        <f ca="1">IF(ISERROR($V173),"",OFFSET('Smelter Look-up'!$C$4,$V173-4,0)&amp;"")</f>
        <v>Fabrica Auricchio Industria e Comercio Ltda.</v>
      </c>
      <c r="S173" s="181" t="str">
        <f t="shared" ca="1" si="23"/>
        <v>BR</v>
      </c>
      <c r="T173" s="181" t="str">
        <f ca="1">IF(B173="","",IF(ISERROR(MATCH($J173,SorP!$B$1:$B$6226,0)),"",INDIRECT("'SorP'!$A$"&amp;MATCH($S173&amp;$J173,SorP!C:C,0))))</f>
        <v>BR-SP</v>
      </c>
      <c r="U173" s="201"/>
      <c r="V173" s="226">
        <f>IF(C173="",NA(),IF(OR(C173="Smelter not listed",C173="Smelter not yet identified"),MATCH($B173&amp;$D173,'Smelter Look-up'!$J:$J,0),MATCH($B173&amp;$C173,'Smelter Look-up'!$J:$J,0)))</f>
        <v>436</v>
      </c>
      <c r="X173" s="227">
        <f t="shared" si="24"/>
        <v>0</v>
      </c>
      <c r="AB173" s="228" t="str">
        <f t="shared" si="25"/>
        <v>TinFabrica Auricchio Industria e Comercio Ltda.</v>
      </c>
    </row>
    <row r="174" spans="1:28" s="227" customFormat="1" ht="63.75">
      <c r="A174" s="181" t="s">
        <v>15347</v>
      </c>
      <c r="B174" s="182" t="s">
        <v>1099</v>
      </c>
      <c r="C174" s="186" t="s">
        <v>15346</v>
      </c>
      <c r="D174" s="230"/>
      <c r="E174" s="182" t="s">
        <v>12925</v>
      </c>
      <c r="F174" s="182" t="s">
        <v>15347</v>
      </c>
      <c r="G174" s="182" t="s">
        <v>13177</v>
      </c>
      <c r="H174" s="183">
        <v>0</v>
      </c>
      <c r="I174" s="184" t="s">
        <v>15352</v>
      </c>
      <c r="J174" s="184" t="s">
        <v>12746</v>
      </c>
      <c r="K174" s="224"/>
      <c r="L174" s="224"/>
      <c r="M174" s="224"/>
      <c r="N174" s="224"/>
      <c r="O174" s="224"/>
      <c r="P174" s="185"/>
      <c r="Q174" s="225" t="s">
        <v>15887</v>
      </c>
      <c r="R174" s="182" t="str">
        <f ca="1">IF(ISERROR($V174),"",OFFSET('Smelter Look-up'!$C$4,$V174-4,0)&amp;"")</f>
        <v>Mining Minerals Resources SARL</v>
      </c>
      <c r="S174" s="181" t="str">
        <f t="shared" ca="1" si="23"/>
        <v>CD</v>
      </c>
      <c r="T174" s="181" t="str">
        <f ca="1">IF(B174="","",IF(ISERROR(MATCH($J174,SorP!$B$1:$B$6226,0)),"",INDIRECT("'SorP'!$A$"&amp;MATCH($S174&amp;$J174,SorP!C:C,0))))</f>
        <v>CD-HK</v>
      </c>
      <c r="U174" s="201"/>
      <c r="V174" s="226">
        <f>IF(C174="",NA(),IF(OR(C174="Smelter not listed",C174="Smelter not yet identified"),MATCH($B174&amp;$D174,'Smelter Look-up'!$J:$J,0),MATCH($B174&amp;$C174,'Smelter Look-up'!$J:$J,0)))</f>
        <v>480</v>
      </c>
      <c r="X174" s="227">
        <f t="shared" si="24"/>
        <v>0</v>
      </c>
      <c r="AB174" s="228" t="str">
        <f t="shared" si="25"/>
        <v>TinMining Minerals Resources SARL</v>
      </c>
    </row>
    <row r="175" spans="1:28" s="227" customFormat="1" ht="204">
      <c r="A175" s="181" t="s">
        <v>15639</v>
      </c>
      <c r="B175" s="182" t="s">
        <v>1099</v>
      </c>
      <c r="C175" s="186" t="s">
        <v>15638</v>
      </c>
      <c r="D175" s="230"/>
      <c r="E175" s="182" t="s">
        <v>1077</v>
      </c>
      <c r="F175" s="182" t="s">
        <v>15639</v>
      </c>
      <c r="G175" s="182" t="s">
        <v>13177</v>
      </c>
      <c r="H175" s="183">
        <v>0</v>
      </c>
      <c r="I175" s="184" t="s">
        <v>1593</v>
      </c>
      <c r="J175" s="184" t="s">
        <v>6659</v>
      </c>
      <c r="K175" s="224"/>
      <c r="L175" s="224"/>
      <c r="M175" s="224"/>
      <c r="N175" s="224"/>
      <c r="O175" s="224"/>
      <c r="P175" s="185"/>
      <c r="Q175" s="225" t="s">
        <v>15887</v>
      </c>
      <c r="R175" s="182" t="str">
        <f ca="1">IF(ISERROR($V175),"",OFFSET('Smelter Look-up'!$C$4,$V175-4,0)&amp;"")</f>
        <v>Takehara PVD Materials Plant / PVD Materials Division of MITSUI MINING &amp; SMELTING CO., LTD.</v>
      </c>
      <c r="S175" s="181" t="str">
        <f t="shared" ca="1" si="23"/>
        <v>JP</v>
      </c>
      <c r="T175" s="181" t="str">
        <f ca="1">IF(B175="","",IF(ISERROR(MATCH($J175,SorP!$B$1:$B$6226,0)),"",INDIRECT("'SorP'!$A$"&amp;MATCH($S175&amp;$J175,SorP!C:C,0))))</f>
        <v>JP-34</v>
      </c>
      <c r="U175" s="201"/>
      <c r="V175" s="226">
        <f>IF(C175="",NA(),IF(OR(C175="Smelter not listed",C175="Smelter not yet identified"),MATCH($B175&amp;$D175,'Smelter Look-up'!$J:$J,0),MATCH($B175&amp;$C175,'Smelter Look-up'!$J:$J,0)))</f>
        <v>518</v>
      </c>
      <c r="X175" s="227">
        <f t="shared" si="24"/>
        <v>0</v>
      </c>
      <c r="AB175" s="228" t="str">
        <f t="shared" si="25"/>
        <v>TinTakehara PVD Materials Plant / PVD Materials Division of MITSUI MINING &amp; SMELTING CO., LTD.</v>
      </c>
    </row>
    <row r="176" spans="1:28" s="227" customFormat="1" ht="102">
      <c r="A176" s="181" t="s">
        <v>15635</v>
      </c>
      <c r="B176" s="182" t="s">
        <v>1099</v>
      </c>
      <c r="C176" s="186" t="s">
        <v>15634</v>
      </c>
      <c r="D176" s="230"/>
      <c r="E176" s="182" t="s">
        <v>1084</v>
      </c>
      <c r="F176" s="182" t="s">
        <v>15635</v>
      </c>
      <c r="G176" s="182" t="s">
        <v>13177</v>
      </c>
      <c r="H176" s="183">
        <v>0</v>
      </c>
      <c r="I176" s="184" t="s">
        <v>15645</v>
      </c>
      <c r="J176" s="184" t="s">
        <v>8641</v>
      </c>
      <c r="K176" s="224"/>
      <c r="L176" s="224"/>
      <c r="M176" s="224"/>
      <c r="N176" s="224"/>
      <c r="O176" s="224"/>
      <c r="P176" s="185"/>
      <c r="Q176" s="225" t="s">
        <v>15887</v>
      </c>
      <c r="R176" s="182" t="str">
        <f ca="1">IF(ISERROR($V176),"",OFFSET('Smelter Look-up'!$C$4,$V176-4,0)&amp;"")</f>
        <v>Malaysia Smelting Corporation Berhad (Port Klang)</v>
      </c>
      <c r="S176" s="181" t="str">
        <f t="shared" ca="1" si="23"/>
        <v>MY</v>
      </c>
      <c r="T176" s="181" t="str">
        <f ca="1">IF(B176="","",IF(ISERROR(MATCH($J176,SorP!$B$1:$B$6226,0)),"",INDIRECT("'SorP'!$A$"&amp;MATCH($S176&amp;$J176,SorP!C:C,0))))</f>
        <v>MY-10</v>
      </c>
      <c r="U176" s="201"/>
      <c r="V176" s="226">
        <f>IF(C176="",NA(),IF(OR(C176="Smelter not listed",C176="Smelter not yet identified"),MATCH($B176&amp;$D176,'Smelter Look-up'!$J:$J,0),MATCH($B176&amp;$C176,'Smelter Look-up'!$J:$J,0)))</f>
        <v>469</v>
      </c>
      <c r="X176" s="227">
        <f t="shared" si="24"/>
        <v>0</v>
      </c>
      <c r="AB176" s="228" t="str">
        <f t="shared" si="25"/>
        <v>TinMalaysia Smelting Corporation Berhad (Port Klang)</v>
      </c>
    </row>
    <row r="177" spans="1:28" s="227" customFormat="1" ht="76.5">
      <c r="A177" s="181" t="s">
        <v>15641</v>
      </c>
      <c r="B177" s="182" t="s">
        <v>1099</v>
      </c>
      <c r="C177" s="186" t="s">
        <v>15640</v>
      </c>
      <c r="D177" s="230"/>
      <c r="E177" s="182" t="s">
        <v>861</v>
      </c>
      <c r="F177" s="182" t="s">
        <v>15641</v>
      </c>
      <c r="G177" s="182" t="s">
        <v>13177</v>
      </c>
      <c r="H177" s="183">
        <v>0</v>
      </c>
      <c r="I177" s="184" t="s">
        <v>11805</v>
      </c>
      <c r="J177" s="184" t="s">
        <v>4779</v>
      </c>
      <c r="K177" s="224"/>
      <c r="L177" s="224"/>
      <c r="M177" s="224"/>
      <c r="N177" s="224"/>
      <c r="O177" s="224"/>
      <c r="P177" s="185"/>
      <c r="Q177" s="225" t="s">
        <v>15887</v>
      </c>
      <c r="R177" s="182" t="str">
        <f ca="1">IF(ISERROR($V177),"",OFFSET('Smelter Look-up'!$C$4,$V177-4,0)&amp;"")</f>
        <v>Woodcross Smelting Company Limited</v>
      </c>
      <c r="S177" s="181" t="str">
        <f t="shared" ca="1" si="23"/>
        <v>UG</v>
      </c>
      <c r="T177" s="181" t="str">
        <f ca="1">IF(B177="","",IF(ISERROR(MATCH($J177,SorP!$B$1:$B$6226,0)),"",INDIRECT("'SorP'!$A$"&amp;MATCH($S177&amp;$J177,SorP!C:C,0))))</f>
        <v>UG-W</v>
      </c>
      <c r="U177" s="201"/>
      <c r="V177" s="226">
        <f>IF(C177="",NA(),IF(OR(C177="Smelter not listed",C177="Smelter not yet identified"),MATCH($B177&amp;$D177,'Smelter Look-up'!$J:$J,0),MATCH($B177&amp;$C177,'Smelter Look-up'!$J:$J,0)))</f>
        <v>533</v>
      </c>
      <c r="X177" s="227">
        <f t="shared" si="24"/>
        <v>0</v>
      </c>
      <c r="AB177" s="228" t="str">
        <f t="shared" si="25"/>
        <v>TinWoodcross Smelting Company Limited</v>
      </c>
    </row>
    <row r="178" spans="1:28" s="227" customFormat="1" ht="63.75">
      <c r="A178" s="181" t="s">
        <v>15859</v>
      </c>
      <c r="B178" s="182" t="s">
        <v>1099</v>
      </c>
      <c r="C178" s="186" t="s">
        <v>15860</v>
      </c>
      <c r="D178" s="230"/>
      <c r="E178" s="182" t="s">
        <v>1074</v>
      </c>
      <c r="F178" s="182" t="s">
        <v>15859</v>
      </c>
      <c r="G178" s="182" t="s">
        <v>13177</v>
      </c>
      <c r="H178" s="183">
        <v>0</v>
      </c>
      <c r="I178" s="184" t="s">
        <v>15861</v>
      </c>
      <c r="J178" s="184" t="s">
        <v>12799</v>
      </c>
      <c r="K178" s="224"/>
      <c r="L178" s="224"/>
      <c r="M178" s="224"/>
      <c r="N178" s="224"/>
      <c r="O178" s="224"/>
      <c r="P178" s="185"/>
      <c r="Q178" s="225" t="s">
        <v>15887</v>
      </c>
      <c r="R178" s="182" t="str">
        <f ca="1">IF(ISERROR($V178),"",OFFSET('Smelter Look-up'!$C$4,$V178-4,0)&amp;"")</f>
        <v/>
      </c>
      <c r="S178" s="181" t="str">
        <f t="shared" ca="1" si="23"/>
        <v>ID</v>
      </c>
      <c r="T178" s="181" t="str">
        <f ca="1">IF(B178="","",IF(ISERROR(MATCH($J178,SorP!$B$1:$B$6226,0)),"",INDIRECT("'SorP'!$A$"&amp;MATCH($S178&amp;$J178,SorP!C:C,0))))</f>
        <v>ID-BB</v>
      </c>
      <c r="U178" s="201"/>
      <c r="V178" s="226" t="e">
        <f>IF(C178="",NA(),IF(OR(C178="Smelter not listed",C178="Smelter not yet identified"),MATCH($B178&amp;$D178,'Smelter Look-up'!$J:$J,0),MATCH($B178&amp;$C178,'Smelter Look-up'!$J:$J,0)))</f>
        <v>#N/A</v>
      </c>
      <c r="X178" s="227">
        <f t="shared" si="24"/>
        <v>0</v>
      </c>
      <c r="AB178" s="228" t="str">
        <f t="shared" si="25"/>
        <v>TinPT Aries Kencana Sejahtera</v>
      </c>
    </row>
    <row r="179" spans="1:28" s="227" customFormat="1" ht="51">
      <c r="A179" s="181" t="s">
        <v>15888</v>
      </c>
      <c r="B179" s="182" t="s">
        <v>1099</v>
      </c>
      <c r="C179" s="186" t="s">
        <v>15889</v>
      </c>
      <c r="D179" s="230"/>
      <c r="E179" s="182" t="s">
        <v>1074</v>
      </c>
      <c r="F179" s="182" t="s">
        <v>15888</v>
      </c>
      <c r="G179" s="182" t="s">
        <v>13177</v>
      </c>
      <c r="H179" s="183">
        <v>0</v>
      </c>
      <c r="I179" s="184" t="s">
        <v>14986</v>
      </c>
      <c r="J179" s="184" t="s">
        <v>12799</v>
      </c>
      <c r="K179" s="224"/>
      <c r="L179" s="224"/>
      <c r="M179" s="224"/>
      <c r="N179" s="224"/>
      <c r="O179" s="224"/>
      <c r="P179" s="185"/>
      <c r="Q179" s="225" t="s">
        <v>15887</v>
      </c>
      <c r="R179" s="182" t="str">
        <f ca="1">IF(ISERROR($V179),"",OFFSET('Smelter Look-up'!$C$4,$V179-4,0)&amp;"")</f>
        <v/>
      </c>
      <c r="S179" s="181" t="str">
        <f t="shared" ca="1" si="23"/>
        <v>ID</v>
      </c>
      <c r="T179" s="181" t="str">
        <f ca="1">IF(B179="","",IF(ISERROR(MATCH($J179,SorP!$B$1:$B$6226,0)),"",INDIRECT("'SorP'!$A$"&amp;MATCH($S179&amp;$J179,SorP!C:C,0))))</f>
        <v>ID-BB</v>
      </c>
      <c r="U179" s="201"/>
      <c r="V179" s="226" t="e">
        <f>IF(C179="",NA(),IF(OR(C179="Smelter not listed",C179="Smelter not yet identified"),MATCH($B179&amp;$D179,'Smelter Look-up'!$J:$J,0),MATCH($B179&amp;$C179,'Smelter Look-up'!$J:$J,0)))</f>
        <v>#N/A</v>
      </c>
      <c r="X179" s="227">
        <f t="shared" si="24"/>
        <v>0</v>
      </c>
      <c r="AB179" s="228" t="str">
        <f t="shared" si="25"/>
        <v>TinCV Venus Inti Perkasa</v>
      </c>
    </row>
    <row r="180" spans="1:28" s="227" customFormat="1" ht="153">
      <c r="A180" s="181" t="s">
        <v>14955</v>
      </c>
      <c r="B180" s="182" t="s">
        <v>1099</v>
      </c>
      <c r="C180" s="186" t="s">
        <v>14954</v>
      </c>
      <c r="D180" s="230"/>
      <c r="E180" s="182" t="s">
        <v>1065</v>
      </c>
      <c r="F180" s="182" t="s">
        <v>14955</v>
      </c>
      <c r="G180" s="182" t="s">
        <v>13177</v>
      </c>
      <c r="H180" s="183">
        <v>0</v>
      </c>
      <c r="I180" s="184" t="s">
        <v>14985</v>
      </c>
      <c r="J180" s="184" t="s">
        <v>3412</v>
      </c>
      <c r="K180" s="224"/>
      <c r="L180" s="224"/>
      <c r="M180" s="224"/>
      <c r="N180" s="224"/>
      <c r="O180" s="224"/>
      <c r="P180" s="185"/>
      <c r="Q180" s="225" t="s">
        <v>15887</v>
      </c>
      <c r="R180" s="182" t="str">
        <f ca="1">IF(ISERROR($V180),"",OFFSET('Smelter Look-up'!$C$4,$V180-4,0)&amp;"")</f>
        <v>CRM Fundicao De Metais E Comercio De Equipamentos Eletronicos Do Brasil Ltda</v>
      </c>
      <c r="S180" s="181" t="str">
        <f t="shared" ca="1" si="23"/>
        <v>BR</v>
      </c>
      <c r="T180" s="181" t="str">
        <f ca="1">IF(B180="","",IF(ISERROR(MATCH($J180,SorP!$B$1:$B$6226,0)),"",INDIRECT("'SorP'!$A$"&amp;MATCH($S180&amp;$J180,SorP!C:C,0))))</f>
        <v>BR-SC</v>
      </c>
      <c r="U180" s="201"/>
      <c r="V180" s="226">
        <f>IF(C180="",NA(),IF(OR(C180="Smelter not listed",C180="Smelter not yet identified"),MATCH($B180&amp;$D180,'Smelter Look-up'!$J:$J,0),MATCH($B180&amp;$C180,'Smelter Look-up'!$J:$J,0)))</f>
        <v>417</v>
      </c>
      <c r="X180" s="227">
        <f t="shared" si="24"/>
        <v>0</v>
      </c>
      <c r="AB180" s="228" t="str">
        <f t="shared" si="25"/>
        <v>TinCRM Fundicao De Metais E Comercio De Equipamentos Eletronicos Do Brasil Ltda</v>
      </c>
    </row>
    <row r="181" spans="1:28" s="227" customFormat="1" ht="25.5">
      <c r="A181" s="181" t="s">
        <v>15840</v>
      </c>
      <c r="B181" s="182" t="s">
        <v>1099</v>
      </c>
      <c r="C181" s="186" t="s">
        <v>15841</v>
      </c>
      <c r="D181" s="230"/>
      <c r="E181" s="182" t="s">
        <v>1074</v>
      </c>
      <c r="F181" s="182" t="s">
        <v>15840</v>
      </c>
      <c r="G181" s="182" t="s">
        <v>13177</v>
      </c>
      <c r="H181" s="183">
        <v>0</v>
      </c>
      <c r="I181" s="184" t="s">
        <v>1726</v>
      </c>
      <c r="J181" s="184" t="s">
        <v>12799</v>
      </c>
      <c r="K181" s="224"/>
      <c r="L181" s="224"/>
      <c r="M181" s="224"/>
      <c r="N181" s="224"/>
      <c r="O181" s="224"/>
      <c r="P181" s="185"/>
      <c r="Q181" s="225" t="s">
        <v>15887</v>
      </c>
      <c r="R181" s="182" t="str">
        <f ca="1">IF(ISERROR($V181),"",OFFSET('Smelter Look-up'!$C$4,$V181-4,0)&amp;"")</f>
        <v/>
      </c>
      <c r="S181" s="181" t="str">
        <f t="shared" ca="1" si="23"/>
        <v>ID</v>
      </c>
      <c r="T181" s="181" t="str">
        <f ca="1">IF(B181="","",IF(ISERROR(MATCH($J181,SorP!$B$1:$B$6226,0)),"",INDIRECT("'SorP'!$A$"&amp;MATCH($S181&amp;$J181,SorP!C:C,0))))</f>
        <v>ID-BB</v>
      </c>
      <c r="U181" s="201"/>
      <c r="V181" s="226" t="e">
        <f>IF(C181="",NA(),IF(OR(C181="Smelter not listed",C181="Smelter not yet identified"),MATCH($B181&amp;$D181,'Smelter Look-up'!$J:$J,0),MATCH($B181&amp;$C181,'Smelter Look-up'!$J:$J,0)))</f>
        <v>#N/A</v>
      </c>
      <c r="X181" s="227">
        <f t="shared" si="24"/>
        <v>0</v>
      </c>
      <c r="AB181" s="228" t="str">
        <f t="shared" si="25"/>
        <v>TinCV Ayi Jaya</v>
      </c>
    </row>
    <row r="182" spans="1:28" s="227" customFormat="1" ht="38.25">
      <c r="A182" s="181" t="s">
        <v>15893</v>
      </c>
      <c r="B182" s="182" t="s">
        <v>1099</v>
      </c>
      <c r="C182" s="186" t="s">
        <v>15894</v>
      </c>
      <c r="D182" s="230"/>
      <c r="E182" s="182" t="s">
        <v>1083</v>
      </c>
      <c r="F182" s="182" t="s">
        <v>15893</v>
      </c>
      <c r="G182" s="182" t="s">
        <v>13177</v>
      </c>
      <c r="H182" s="183">
        <v>0</v>
      </c>
      <c r="I182" s="184" t="s">
        <v>8210</v>
      </c>
      <c r="J182" s="184" t="s">
        <v>8210</v>
      </c>
      <c r="K182" s="224"/>
      <c r="L182" s="224"/>
      <c r="M182" s="224"/>
      <c r="N182" s="224"/>
      <c r="O182" s="224"/>
      <c r="P182" s="185"/>
      <c r="Q182" s="225" t="s">
        <v>15887</v>
      </c>
      <c r="R182" s="182" t="str">
        <f ca="1">IF(ISERROR($V182),"",OFFSET('Smelter Look-up'!$C$4,$V182-4,0)&amp;"")</f>
        <v/>
      </c>
      <c r="S182" s="181" t="str">
        <f t="shared" ca="1" si="23"/>
        <v>MM</v>
      </c>
      <c r="T182" s="181" t="str">
        <f ca="1">IF(B182="","",IF(ISERROR(MATCH($J182,SorP!$B$1:$B$6226,0)),"",INDIRECT("'SorP'!$A$"&amp;MATCH($S182&amp;$J182,SorP!C:C,0))))</f>
        <v>MM-06</v>
      </c>
      <c r="U182" s="201"/>
      <c r="V182" s="226" t="e">
        <f>IF(C182="",NA(),IF(OR(C182="Smelter not listed",C182="Smelter not yet identified"),MATCH($B182&amp;$D182,'Smelter Look-up'!$J:$J,0),MATCH($B182&amp;$C182,'Smelter Look-up'!$J:$J,0)))</f>
        <v>#N/A</v>
      </c>
      <c r="X182" s="227">
        <f t="shared" si="24"/>
        <v>0</v>
      </c>
      <c r="AB182" s="228" t="str">
        <f t="shared" si="25"/>
        <v>TinDS Myanmar</v>
      </c>
    </row>
    <row r="183" spans="1:28" s="227" customFormat="1" ht="76.5">
      <c r="A183" s="181" t="s">
        <v>13718</v>
      </c>
      <c r="B183" s="182" t="s">
        <v>1099</v>
      </c>
      <c r="C183" s="186" t="s">
        <v>13717</v>
      </c>
      <c r="D183" s="230"/>
      <c r="E183" s="182" t="s">
        <v>1075</v>
      </c>
      <c r="F183" s="182" t="s">
        <v>13718</v>
      </c>
      <c r="G183" s="182" t="s">
        <v>13177</v>
      </c>
      <c r="H183" s="183">
        <v>0</v>
      </c>
      <c r="I183" s="184" t="s">
        <v>13737</v>
      </c>
      <c r="J183" s="184" t="s">
        <v>15379</v>
      </c>
      <c r="K183" s="224"/>
      <c r="L183" s="224"/>
      <c r="M183" s="224"/>
      <c r="N183" s="224"/>
      <c r="O183" s="224"/>
      <c r="P183" s="185"/>
      <c r="Q183" s="225" t="s">
        <v>15887</v>
      </c>
      <c r="R183" s="182" t="str">
        <f ca="1">IF(ISERROR($V183),"",OFFSET('Smelter Look-up'!$C$4,$V183-4,0)&amp;"")</f>
        <v>Precious Minerals and Smelting Limited</v>
      </c>
      <c r="S183" s="181" t="str">
        <f t="shared" ca="1" si="23"/>
        <v>IN</v>
      </c>
      <c r="T183" s="181" t="str">
        <f ca="1">IF(B183="","",IF(ISERROR(MATCH($J183,SorP!$B$1:$B$6226,0)),"",INDIRECT("'SorP'!$A$"&amp;MATCH($S183&amp;$J183,SorP!C:C,0))))</f>
        <v>IN-CG</v>
      </c>
      <c r="U183" s="201"/>
      <c r="V183" s="226">
        <f>IF(C183="",NA(),IF(OR(C183="Smelter not listed",C183="Smelter not yet identified"),MATCH($B183&amp;$D183,'Smelter Look-up'!$J:$J,0),MATCH($B183&amp;$C183,'Smelter Look-up'!$J:$J,0)))</f>
        <v>497</v>
      </c>
      <c r="X183" s="227">
        <f t="shared" si="24"/>
        <v>0</v>
      </c>
      <c r="AB183" s="228" t="str">
        <f t="shared" si="25"/>
        <v>TinPrecious Minerals and Smelting Limited</v>
      </c>
    </row>
    <row r="184" spans="1:28" s="227" customFormat="1" ht="51">
      <c r="A184" s="181" t="s">
        <v>15350</v>
      </c>
      <c r="B184" s="182" t="s">
        <v>1099</v>
      </c>
      <c r="C184" s="186" t="s">
        <v>15349</v>
      </c>
      <c r="D184" s="230"/>
      <c r="E184" s="182" t="s">
        <v>1074</v>
      </c>
      <c r="F184" s="182" t="s">
        <v>15350</v>
      </c>
      <c r="G184" s="182" t="s">
        <v>13177</v>
      </c>
      <c r="H184" s="183">
        <v>0</v>
      </c>
      <c r="I184" s="184" t="s">
        <v>15353</v>
      </c>
      <c r="J184" s="184" t="s">
        <v>12799</v>
      </c>
      <c r="K184" s="224"/>
      <c r="L184" s="224"/>
      <c r="M184" s="224"/>
      <c r="N184" s="224"/>
      <c r="O184" s="224"/>
      <c r="P184" s="185"/>
      <c r="Q184" s="225" t="s">
        <v>15887</v>
      </c>
      <c r="R184" s="182" t="str">
        <f ca="1">IF(ISERROR($V184),"",OFFSET('Smelter Look-up'!$C$4,$V184-4,0)&amp;"")</f>
        <v>PT Bangka Prima Tin</v>
      </c>
      <c r="S184" s="181" t="str">
        <f t="shared" ca="1" si="23"/>
        <v>ID</v>
      </c>
      <c r="T184" s="181" t="str">
        <f ca="1">IF(B184="","",IF(ISERROR(MATCH($J184,SorP!$B$1:$B$6226,0)),"",INDIRECT("'SorP'!$A$"&amp;MATCH($S184&amp;$J184,SorP!C:C,0))))</f>
        <v>ID-BB</v>
      </c>
      <c r="U184" s="201"/>
      <c r="V184" s="226">
        <f>IF(C184="",NA(),IF(OR(C184="Smelter not listed",C184="Smelter not yet identified"),MATCH($B184&amp;$D184,'Smelter Look-up'!$J:$J,0),MATCH($B184&amp;$C184,'Smelter Look-up'!$J:$J,0)))</f>
        <v>500</v>
      </c>
      <c r="X184" s="227">
        <f t="shared" si="24"/>
        <v>0</v>
      </c>
      <c r="AB184" s="228" t="str">
        <f t="shared" si="25"/>
        <v>TinPT Bangka Prima Tin</v>
      </c>
    </row>
    <row r="185" spans="1:28" s="227" customFormat="1" ht="63.75">
      <c r="A185" s="181" t="s">
        <v>15895</v>
      </c>
      <c r="B185" s="182" t="s">
        <v>1099</v>
      </c>
      <c r="C185" s="186" t="s">
        <v>15896</v>
      </c>
      <c r="D185" s="230"/>
      <c r="E185" s="182" t="s">
        <v>1074</v>
      </c>
      <c r="F185" s="182" t="s">
        <v>15895</v>
      </c>
      <c r="G185" s="182" t="s">
        <v>13177</v>
      </c>
      <c r="H185" s="183">
        <v>0</v>
      </c>
      <c r="I185" s="184" t="s">
        <v>15849</v>
      </c>
      <c r="J185" s="184" t="s">
        <v>12799</v>
      </c>
      <c r="K185" s="224"/>
      <c r="L185" s="224"/>
      <c r="M185" s="224"/>
      <c r="N185" s="224"/>
      <c r="O185" s="224"/>
      <c r="P185" s="185"/>
      <c r="Q185" s="225" t="s">
        <v>15887</v>
      </c>
      <c r="R185" s="182" t="str">
        <f ca="1">IF(ISERROR($V185),"",OFFSET('Smelter Look-up'!$C$4,$V185-4,0)&amp;"")</f>
        <v/>
      </c>
      <c r="S185" s="181" t="str">
        <f t="shared" ca="1" si="23"/>
        <v>ID</v>
      </c>
      <c r="T185" s="181" t="str">
        <f ca="1">IF(B185="","",IF(ISERROR(MATCH($J185,SorP!$B$1:$B$6226,0)),"",INDIRECT("'SorP'!$A$"&amp;MATCH($S185&amp;$J185,SorP!C:C,0))))</f>
        <v>ID-BB</v>
      </c>
      <c r="U185" s="201"/>
      <c r="V185" s="226" t="e">
        <f>IF(C185="",NA(),IF(OR(C185="Smelter not listed",C185="Smelter not yet identified"),MATCH($B185&amp;$D185,'Smelter Look-up'!$J:$J,0),MATCH($B185&amp;$C185,'Smelter Look-up'!$J:$J,0)))</f>
        <v>#N/A</v>
      </c>
      <c r="X185" s="227">
        <f t="shared" si="24"/>
        <v>0</v>
      </c>
      <c r="AB185" s="228" t="str">
        <f t="shared" si="25"/>
        <v>TinPT Belitung Industri Sejahtera</v>
      </c>
    </row>
    <row r="186" spans="1:28" s="227" customFormat="1" ht="63.75">
      <c r="A186" s="181" t="s">
        <v>15345</v>
      </c>
      <c r="B186" s="182" t="s">
        <v>1099</v>
      </c>
      <c r="C186" s="186" t="s">
        <v>15344</v>
      </c>
      <c r="D186" s="230"/>
      <c r="E186" s="182" t="s">
        <v>1074</v>
      </c>
      <c r="F186" s="182" t="s">
        <v>15345</v>
      </c>
      <c r="G186" s="182" t="s">
        <v>13177</v>
      </c>
      <c r="H186" s="183">
        <v>0</v>
      </c>
      <c r="I186" s="184" t="s">
        <v>15351</v>
      </c>
      <c r="J186" s="184" t="s">
        <v>12799</v>
      </c>
      <c r="K186" s="224"/>
      <c r="L186" s="224"/>
      <c r="M186" s="224"/>
      <c r="N186" s="224"/>
      <c r="O186" s="224"/>
      <c r="P186" s="185"/>
      <c r="Q186" s="225" t="s">
        <v>15887</v>
      </c>
      <c r="R186" s="182" t="str">
        <f ca="1">IF(ISERROR($V186),"",OFFSET('Smelter Look-up'!$C$4,$V186-4,0)&amp;"")</f>
        <v>PT Premium Tin Indonesia</v>
      </c>
      <c r="S186" s="181" t="str">
        <f t="shared" ca="1" si="23"/>
        <v>ID</v>
      </c>
      <c r="T186" s="181" t="str">
        <f ca="1">IF(B186="","",IF(ISERROR(MATCH($J186,SorP!$B$1:$B$6226,0)),"",INDIRECT("'SorP'!$A$"&amp;MATCH($S186&amp;$J186,SorP!C:C,0))))</f>
        <v>ID-BB</v>
      </c>
      <c r="U186" s="201"/>
      <c r="V186" s="226">
        <f>IF(C186="",NA(),IF(OR(C186="Smelter not listed",C186="Smelter not yet identified"),MATCH($B186&amp;$D186,'Smelter Look-up'!$J:$J,0),MATCH($B186&amp;$C186,'Smelter Look-up'!$J:$J,0)))</f>
        <v>504</v>
      </c>
      <c r="X186" s="227">
        <f t="shared" si="24"/>
        <v>0</v>
      </c>
      <c r="AB186" s="228" t="str">
        <f t="shared" si="25"/>
        <v>TinPT Premium Tin Indonesia</v>
      </c>
    </row>
    <row r="187" spans="1:28" s="227" customFormat="1" ht="51">
      <c r="A187" s="181" t="s">
        <v>15842</v>
      </c>
      <c r="B187" s="182" t="s">
        <v>1099</v>
      </c>
      <c r="C187" s="186" t="s">
        <v>15843</v>
      </c>
      <c r="D187" s="230"/>
      <c r="E187" s="182" t="s">
        <v>1074</v>
      </c>
      <c r="F187" s="182" t="s">
        <v>15842</v>
      </c>
      <c r="G187" s="182" t="s">
        <v>13177</v>
      </c>
      <c r="H187" s="183">
        <v>0</v>
      </c>
      <c r="I187" s="184" t="s">
        <v>15844</v>
      </c>
      <c r="J187" s="184" t="s">
        <v>12799</v>
      </c>
      <c r="K187" s="224"/>
      <c r="L187" s="224"/>
      <c r="M187" s="224"/>
      <c r="N187" s="224"/>
      <c r="O187" s="224"/>
      <c r="P187" s="185"/>
      <c r="Q187" s="225" t="s">
        <v>15887</v>
      </c>
      <c r="R187" s="182" t="str">
        <f ca="1">IF(ISERROR($V187),"",OFFSET('Smelter Look-up'!$C$4,$V187-4,0)&amp;"")</f>
        <v/>
      </c>
      <c r="S187" s="181" t="str">
        <f t="shared" ca="1" si="23"/>
        <v>ID</v>
      </c>
      <c r="T187" s="181" t="str">
        <f ca="1">IF(B187="","",IF(ISERROR(MATCH($J187,SorP!$B$1:$B$6226,0)),"",INDIRECT("'SorP'!$A$"&amp;MATCH($S187&amp;$J187,SorP!C:C,0))))</f>
        <v>ID-BB</v>
      </c>
      <c r="U187" s="201"/>
      <c r="V187" s="226" t="e">
        <f>IF(C187="",NA(),IF(OR(C187="Smelter not listed",C187="Smelter not yet identified"),MATCH($B187&amp;$D187,'Smelter Look-up'!$J:$J,0),MATCH($B187&amp;$C187,'Smelter Look-up'!$J:$J,0)))</f>
        <v>#N/A</v>
      </c>
      <c r="X187" s="227">
        <f t="shared" si="24"/>
        <v>0</v>
      </c>
      <c r="AB187" s="228" t="str">
        <f t="shared" si="25"/>
        <v>TinPT Timah Nusantara</v>
      </c>
    </row>
    <row r="188" spans="1:28" s="227" customFormat="1" ht="38.25">
      <c r="A188" s="181" t="s">
        <v>15853</v>
      </c>
      <c r="B188" s="182" t="s">
        <v>1099</v>
      </c>
      <c r="C188" s="186" t="s">
        <v>15854</v>
      </c>
      <c r="D188" s="230"/>
      <c r="E188" s="182" t="s">
        <v>1074</v>
      </c>
      <c r="F188" s="182" t="s">
        <v>15853</v>
      </c>
      <c r="G188" s="182" t="s">
        <v>13177</v>
      </c>
      <c r="H188" s="183">
        <v>0</v>
      </c>
      <c r="I188" s="184" t="s">
        <v>15855</v>
      </c>
      <c r="J188" s="184" t="s">
        <v>12799</v>
      </c>
      <c r="K188" s="224"/>
      <c r="L188" s="224"/>
      <c r="M188" s="224"/>
      <c r="N188" s="224"/>
      <c r="O188" s="224"/>
      <c r="P188" s="185"/>
      <c r="Q188" s="225" t="s">
        <v>15887</v>
      </c>
      <c r="R188" s="182" t="str">
        <f ca="1">IF(ISERROR($V188),"",OFFSET('Smelter Look-up'!$C$4,$V188-4,0)&amp;"")</f>
        <v/>
      </c>
      <c r="S188" s="181" t="str">
        <f t="shared" ca="1" si="23"/>
        <v>ID</v>
      </c>
      <c r="T188" s="181" t="str">
        <f ca="1">IF(B188="","",IF(ISERROR(MATCH($J188,SorP!$B$1:$B$6226,0)),"",INDIRECT("'SorP'!$A$"&amp;MATCH($S188&amp;$J188,SorP!C:C,0))))</f>
        <v>ID-BB</v>
      </c>
      <c r="U188" s="201"/>
      <c r="V188" s="226" t="e">
        <f>IF(C188="",NA(),IF(OR(C188="Smelter not listed",C188="Smelter not yet identified"),MATCH($B188&amp;$D188,'Smelter Look-up'!$J:$J,0),MATCH($B188&amp;$C188,'Smelter Look-up'!$J:$J,0)))</f>
        <v>#N/A</v>
      </c>
      <c r="X188" s="227">
        <f t="shared" si="24"/>
        <v>0</v>
      </c>
      <c r="AB188" s="228" t="str">
        <f t="shared" si="25"/>
        <v>TinPT Tommy Utama</v>
      </c>
    </row>
    <row r="189" spans="1:28" s="227" customFormat="1" ht="25.5">
      <c r="A189" s="181" t="s">
        <v>2483</v>
      </c>
      <c r="B189" s="182" t="s">
        <v>1099</v>
      </c>
      <c r="C189" s="186" t="s">
        <v>2482</v>
      </c>
      <c r="D189" s="230"/>
      <c r="E189" s="182" t="s">
        <v>1065</v>
      </c>
      <c r="F189" s="182" t="s">
        <v>2483</v>
      </c>
      <c r="G189" s="182" t="s">
        <v>13177</v>
      </c>
      <c r="H189" s="183">
        <v>0</v>
      </c>
      <c r="I189" s="184" t="s">
        <v>2491</v>
      </c>
      <c r="J189" s="184" t="s">
        <v>1640</v>
      </c>
      <c r="K189" s="224"/>
      <c r="L189" s="224"/>
      <c r="M189" s="224"/>
      <c r="N189" s="224"/>
      <c r="O189" s="224"/>
      <c r="P189" s="185"/>
      <c r="Q189" s="225" t="s">
        <v>15887</v>
      </c>
      <c r="R189" s="182" t="str">
        <f ca="1">IF(ISERROR($V189),"",OFFSET('Smelter Look-up'!$C$4,$V189-4,0)&amp;"")</f>
        <v>Super Ligas</v>
      </c>
      <c r="S189" s="181" t="str">
        <f t="shared" ca="1" si="23"/>
        <v>BR</v>
      </c>
      <c r="T189" s="181" t="str">
        <f ca="1">IF(B189="","",IF(ISERROR(MATCH($J189,SorP!$B$1:$B$6226,0)),"",INDIRECT("'SorP'!$A$"&amp;MATCH($S189&amp;$J189,SorP!C:C,0))))</f>
        <v>BR-SP</v>
      </c>
      <c r="U189" s="201"/>
      <c r="V189" s="226">
        <f>IF(C189="",NA(),IF(OR(C189="Smelter not listed",C189="Smelter not yet identified"),MATCH($B189&amp;$D189,'Smelter Look-up'!$J:$J,0),MATCH($B189&amp;$C189,'Smelter Look-up'!$J:$J,0)))</f>
        <v>517</v>
      </c>
      <c r="X189" s="227">
        <f t="shared" si="24"/>
        <v>0</v>
      </c>
      <c r="AB189" s="228" t="str">
        <f t="shared" si="25"/>
        <v>TinSuper Ligas</v>
      </c>
    </row>
    <row r="190" spans="1:28" s="227" customFormat="1" ht="102">
      <c r="A190" s="181" t="s">
        <v>13720</v>
      </c>
      <c r="B190" s="182" t="s">
        <v>1099</v>
      </c>
      <c r="C190" s="186" t="s">
        <v>13719</v>
      </c>
      <c r="D190" s="230"/>
      <c r="E190" s="182" t="s">
        <v>1069</v>
      </c>
      <c r="F190" s="182" t="s">
        <v>13720</v>
      </c>
      <c r="G190" s="182" t="s">
        <v>13177</v>
      </c>
      <c r="H190" s="183">
        <v>0</v>
      </c>
      <c r="I190" s="184" t="s">
        <v>2398</v>
      </c>
      <c r="J190" s="184" t="s">
        <v>13540</v>
      </c>
      <c r="K190" s="224"/>
      <c r="L190" s="224"/>
      <c r="M190" s="224"/>
      <c r="N190" s="224"/>
      <c r="O190" s="224"/>
      <c r="P190" s="185"/>
      <c r="Q190" s="225" t="s">
        <v>15887</v>
      </c>
      <c r="R190" s="182" t="str">
        <f ca="1">IF(ISERROR($V190),"",OFFSET('Smelter Look-up'!$C$4,$V190-4,0)&amp;"")</f>
        <v>Yunnan Yunfan Non-ferrous Metals Co., Ltd.</v>
      </c>
      <c r="S190" s="181" t="str">
        <f t="shared" ca="1" si="23"/>
        <v>CN</v>
      </c>
      <c r="T190" s="181" t="str">
        <f ca="1">IF(B190="","",IF(ISERROR(MATCH($J190,SorP!$B$1:$B$6226,0)),"",INDIRECT("'SorP'!$A$"&amp;MATCH($S190&amp;$J190,SorP!C:C,0))))</f>
        <v>CN-YN</v>
      </c>
      <c r="U190" s="201"/>
      <c r="V190" s="226">
        <f>IF(C190="",NA(),IF(OR(C190="Smelter not listed",C190="Smelter not yet identified"),MATCH($B190&amp;$D190,'Smelter Look-up'!$J:$J,0),MATCH($B190&amp;$C190,'Smelter Look-up'!$J:$J,0)))</f>
        <v>547</v>
      </c>
      <c r="X190" s="227">
        <f t="shared" si="24"/>
        <v>0</v>
      </c>
      <c r="AB190" s="228" t="str">
        <f t="shared" si="25"/>
        <v>TinYunnan Yunfan Non-ferrous Metals Co., Ltd.</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73186F5-4F23-4564-B9B3-1EA43ABED0C7}"/>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9"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Innovative Power Prducts</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t="str">
        <f>Declaration!D10</f>
        <v>The scope of Innovative Power Products, Inc. is designing, manufacturing, and sales of RF and Microwave Passive Components.</v>
      </c>
      <c r="C6" s="89" t="str">
        <f ca="1">IF(H6=1,J6,I6)</f>
        <v>Complete</v>
      </c>
      <c r="D6" s="95" t="str">
        <f>IF(H6=1,"Click here to provide a Description of Scope","")</f>
        <v/>
      </c>
      <c r="E6" s="20" t="s">
        <v>1273</v>
      </c>
      <c r="F6" s="94">
        <f>IF(OR(B5=Declaration!P9,B5=Declaration!Q9,B5=0),0,1)</f>
        <v>0</v>
      </c>
      <c r="G6" s="70">
        <f>IF(B6=0,1,0)</f>
        <v>0</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Dan Guiffre</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dguiffre@innovativepp.com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631-563-0088</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Tom Passaro</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tpassaro@iinovativepp.com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45954</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780</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780</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780</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780</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 xml:space="preserve">Tantalum  </v>
      </c>
      <c r="B34" s="89">
        <f>IF(AND($B$14="Yes",$B$19="Yes"),Declaration!D50,0)</f>
        <v>0</v>
      </c>
      <c r="C34" s="89" t="str">
        <f ca="1">IF(H34=1,J34,I34)</f>
        <v>Complete</v>
      </c>
      <c r="D34" s="260" t="str">
        <f>IF(H34=1,"Click here to answer question 5 for Tantalum","")</f>
        <v/>
      </c>
      <c r="E34" s="20" t="s">
        <v>1273</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0" t="str">
        <f>IF(H37=1,"Click here to answer question 5 for Tungsten","")</f>
        <v/>
      </c>
      <c r="E37" s="20" t="s">
        <v>1273</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 xml:space="preserve">Tantalum  </v>
      </c>
      <c r="B39" s="268">
        <f>IF(AND($B$14="Yes",$B$19="Yes"),Declaration!D56,0)</f>
        <v>0</v>
      </c>
      <c r="C39" s="89" t="str">
        <f ca="1">IF(H39=1,J39,I39)</f>
        <v>Complete</v>
      </c>
      <c r="D39" s="261" t="str">
        <f>IF(H39=1,"Click here to answer question 6 for Tantalum","")</f>
        <v/>
      </c>
      <c r="E39" s="20" t="s">
        <v>779</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68">
        <f>IF(AND($B$17="Yes",$B$22="Yes"),Declaration!D59,0)</f>
        <v>0</v>
      </c>
      <c r="C42" s="89" t="str">
        <f ca="1">IF(H42=1,J42,I42)</f>
        <v>Complete</v>
      </c>
      <c r="D42" s="261" t="str">
        <f>IF(H42=1,"Click here to answer question 6 for Tungsten","")</f>
        <v/>
      </c>
      <c r="E42" s="20" t="s">
        <v>779</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 xml:space="preserve">Tantalum  </v>
      </c>
      <c r="B44" s="89">
        <f>IF(AND($B$14="Yes",$B$19="Yes"),Declaration!D62,0)</f>
        <v>0</v>
      </c>
      <c r="C44" s="89" t="str">
        <f ca="1">IF(H44=1,J44,I44)</f>
        <v>Complete</v>
      </c>
      <c r="D44" s="260" t="str">
        <f>IF(H44=1,"Click here to answer question 7 for Tantalum","")</f>
        <v/>
      </c>
      <c r="E44" s="20" t="s">
        <v>1269</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0" t="str">
        <f>IF(H47=1,"Click here to answer question 7 for Tungsten","")</f>
        <v/>
      </c>
      <c r="E47" s="20" t="s">
        <v>1269</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780</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1" t="str">
        <f>IF(H52=1,"Click here to answer question 8 for Tungsten","")</f>
        <v/>
      </c>
      <c r="E52" s="20" t="s">
        <v>780</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3</v>
      </c>
      <c r="B56" s="89" t="str">
        <f>Declaration!G77</f>
        <v>http;innovative.com/about-us/conflictminerals</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IF(H65=0,"","Click here to provide smelter information")</f>
        <v/>
      </c>
      <c r="E65" s="20" t="s">
        <v>1273</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IF(H66=0,"","Click here to provide smelter information")</f>
        <v/>
      </c>
      <c r="E66" s="20" t="s">
        <v>780</v>
      </c>
      <c r="F66" s="94">
        <f>F25</f>
        <v>1</v>
      </c>
      <c r="G66" s="70">
        <f>IF(AND(COUNTIF(SmelterIdetifiedForMetal,"Tin")&gt;0,COUNTIF('Smelter List'!AB$5:AB$2504,"Tin?*")&gt;0),0,1)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IF(H67=0,"","Click here to provide smelter information")</f>
        <v/>
      </c>
      <c r="E67" s="20" t="s">
        <v>780</v>
      </c>
      <c r="F67" s="94">
        <f>F26</f>
        <v>1</v>
      </c>
      <c r="G67" s="70">
        <f>IF(AND(COUNTIF(SmelterIdetifiedForMetal,"Gold")&gt;0,COUNTIF('Smelter List'!AB$5:AB$2504,"Gold?*")&gt;0),0,1)</f>
        <v>0</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IF(H68=0,"","Click here to provide smelter information")</f>
        <v/>
      </c>
      <c r="E68" s="20" t="s">
        <v>780</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6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CFF2F783-B677-4B6B-A040-58F34A361B1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BF40559-0AF1-43EA-9387-631C1BECDE6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6e8a5f3d-031c-4996-804e-0e28298fe1e2"/>
    <ds:schemaRef ds:uri="http://schemas.microsoft.com/office/infopath/2007/PartnerControls"/>
    <ds:schemaRef ds:uri="http://schemas.microsoft.com/office/2006/documentManagement/types"/>
    <ds:schemaRef ds:uri="a54701f6-876b-4337-a24e-543e1bd311e6"/>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51B4033F-3C41-4C0C-94AB-1FD2882382C5}"/>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2</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Dan Guiffre</cp:lastModifiedBy>
  <cp:lastPrinted>2015-04-21T20:47:43Z</cp:lastPrinted>
  <dcterms:created xsi:type="dcterms:W3CDTF">2010-06-21T21:00:23Z</dcterms:created>
  <dcterms:modified xsi:type="dcterms:W3CDTF">2025-12-10T20:28:26Z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