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johansondielectrics-my.sharepoint.com/personal/mguerrero_johansontechnology_com/Documents/Desktop/Environmental Compliance Docs/CMRT &amp; EMRT &amp; AMRT/JDI/"/>
    </mc:Choice>
  </mc:AlternateContent>
  <xr:revisionPtr revIDLastSave="50" documentId="13_ncr:1_{1F43054B-CFAB-43DB-BBDC-DC5B4C3AFE63}" xr6:coauthVersionLast="47" xr6:coauthVersionMax="47" xr10:uidLastSave="{5ECC2F1E-EA64-4CAF-AF20-AA66FC6479F8}"/>
  <workbookProtection workbookAlgorithmName="SHA-512" workbookHashValue="3ODvpALY1x61Cvd0Oofqg97ZNd7+40fUrp7alBOJ/L1ruQ6E/ma5lVUydUoqfrQWad9IBPUQppnTUXDHO2Yr1A==" workbookSaltValue="WfJGw/J05jzXDaJ4irXs0g==" workbookSpinCount="100000" lockStructure="1"/>
  <bookViews>
    <workbookView xWindow="-1251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5" l="1"/>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B6" i="5" s="1"/>
  <c r="C4"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G10" i="6" s="1"/>
  <c r="H10" i="6" s="1"/>
  <c r="B9" i="6"/>
  <c r="B63" i="6"/>
  <c r="G63" i="6"/>
  <c r="B62" i="6"/>
  <c r="G62" i="6"/>
  <c r="B60" i="6"/>
  <c r="G60" i="6"/>
  <c r="B59" i="6"/>
  <c r="G59" i="6" s="1"/>
  <c r="B58" i="6"/>
  <c r="G58" i="6"/>
  <c r="B57" i="6"/>
  <c r="G57" i="6"/>
  <c r="B56" i="6"/>
  <c r="G56" i="6" s="1"/>
  <c r="B55" i="6"/>
  <c r="G55" i="6"/>
  <c r="B54" i="6"/>
  <c r="G54" i="6"/>
  <c r="B17" i="6"/>
  <c r="F22" i="6" s="1"/>
  <c r="B16" i="6"/>
  <c r="F21" i="6" s="1"/>
  <c r="B15" i="6"/>
  <c r="B14" i="6"/>
  <c r="G14" i="6"/>
  <c r="H14" i="6" s="1"/>
  <c r="D14" i="6" s="1"/>
  <c r="H13" i="6"/>
  <c r="B12" i="6"/>
  <c r="G12" i="6" s="1"/>
  <c r="H12" i="6" s="1"/>
  <c r="D12" i="6" s="1"/>
  <c r="B11" i="6"/>
  <c r="G11" i="6"/>
  <c r="H11" i="6"/>
  <c r="D11" i="6"/>
  <c r="G9" i="6"/>
  <c r="H9" i="6"/>
  <c r="D9" i="6" s="1"/>
  <c r="B8" i="6"/>
  <c r="G8" i="6"/>
  <c r="H8" i="6" s="1"/>
  <c r="B7" i="6"/>
  <c r="G7" i="6"/>
  <c r="H7" i="6" s="1"/>
  <c r="B6" i="6"/>
  <c r="G6" i="6"/>
  <c r="B5" i="6"/>
  <c r="F64" i="6" s="1"/>
  <c r="F6" i="6"/>
  <c r="H6" i="6" s="1"/>
  <c r="D6" i="6" s="1"/>
  <c r="B4" i="6"/>
  <c r="G4" i="6" s="1"/>
  <c r="H4" i="6" s="1"/>
  <c r="D4" i="6" s="1"/>
  <c r="S2492" i="5"/>
  <c r="B90" i="4"/>
  <c r="H67" i="4"/>
  <c r="P47" i="4"/>
  <c r="B47" i="4" s="1"/>
  <c r="A32" i="6" s="1"/>
  <c r="P46" i="4"/>
  <c r="B46" i="4" s="1"/>
  <c r="A31" i="6" s="1"/>
  <c r="P45" i="4"/>
  <c r="B45" i="4" s="1"/>
  <c r="A30" i="6" s="1"/>
  <c r="P44" i="4"/>
  <c r="P43" i="4"/>
  <c r="Q43" i="4" s="1"/>
  <c r="P41" i="4"/>
  <c r="P40" i="4"/>
  <c r="B40" i="4" s="1"/>
  <c r="B64" i="4" s="1"/>
  <c r="A46" i="6" s="1"/>
  <c r="P39" i="4"/>
  <c r="P38" i="4"/>
  <c r="B38" i="4" s="1"/>
  <c r="P37" i="4"/>
  <c r="Q37" i="4" s="1"/>
  <c r="B67" i="4" s="1"/>
  <c r="A48" i="6" s="1"/>
  <c r="P35" i="4"/>
  <c r="P34" i="4"/>
  <c r="P33" i="4"/>
  <c r="P32" i="4"/>
  <c r="P31" i="4"/>
  <c r="Q31" i="4"/>
  <c r="P29" i="4"/>
  <c r="B29" i="4" s="1"/>
  <c r="P28" i="4"/>
  <c r="B28" i="4" s="1"/>
  <c r="A16" i="6" s="1"/>
  <c r="P27" i="4"/>
  <c r="B27" i="4" s="1"/>
  <c r="A15" i="6" s="1"/>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G16" i="6"/>
  <c r="H16" i="6"/>
  <c r="B19" i="6"/>
  <c r="B29" i="6" s="1"/>
  <c r="G29" i="6" s="1"/>
  <c r="A38" i="2"/>
  <c r="J4" i="5"/>
  <c r="B41" i="4"/>
  <c r="B53" i="4" s="1"/>
  <c r="A3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55" i="4" s="1"/>
  <c r="B44" i="4"/>
  <c r="A29" i="6" s="1"/>
  <c r="A4" i="5"/>
  <c r="I4" i="5"/>
  <c r="I14" i="6"/>
  <c r="I15" i="6"/>
  <c r="I16" i="6"/>
  <c r="C16" i="6" s="1"/>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B34" i="6" l="1"/>
  <c r="G34" i="6" s="1"/>
  <c r="B49" i="6"/>
  <c r="G49" i="6" s="1"/>
  <c r="B89" i="4"/>
  <c r="A63" i="6" s="1"/>
  <c r="B83" i="4"/>
  <c r="A59" i="6" s="1"/>
  <c r="B22" i="6"/>
  <c r="B37" i="6" s="1"/>
  <c r="G37" i="6" s="1"/>
  <c r="B81" i="4"/>
  <c r="A58" i="6" s="1"/>
  <c r="B24" i="6"/>
  <c r="G24" i="6" s="1"/>
  <c r="B61" i="4"/>
  <c r="A43" i="6" s="1"/>
  <c r="C5" i="5"/>
  <c r="B11" i="5"/>
  <c r="C9" i="5"/>
  <c r="C6" i="5"/>
  <c r="AB6" i="5" s="1"/>
  <c r="C15" i="5"/>
  <c r="C14" i="5"/>
  <c r="C12" i="5"/>
  <c r="B14" i="5"/>
  <c r="C13" i="5"/>
  <c r="B5" i="5"/>
  <c r="C11" i="5"/>
  <c r="B13" i="5"/>
  <c r="C10" i="5"/>
  <c r="B12" i="5"/>
  <c r="B9" i="5"/>
  <c r="B17" i="5"/>
  <c r="B8" i="5"/>
  <c r="B10" i="5"/>
  <c r="B18" i="5"/>
  <c r="C18" i="5"/>
  <c r="C8" i="5"/>
  <c r="B16" i="5"/>
  <c r="B7" i="5"/>
  <c r="C17" i="5"/>
  <c r="C16" i="5"/>
  <c r="C7" i="5"/>
  <c r="B15" i="5"/>
  <c r="B32" i="4"/>
  <c r="A19" i="6" s="1"/>
  <c r="F27" i="6"/>
  <c r="F68" i="6" s="1"/>
  <c r="A17" i="6"/>
  <c r="B35" i="4"/>
  <c r="A22" i="6" s="1"/>
  <c r="F32" i="6"/>
  <c r="G22" i="6"/>
  <c r="H22" i="6" s="1"/>
  <c r="B47" i="6"/>
  <c r="G47" i="6" s="1"/>
  <c r="B32" i="6"/>
  <c r="G32" i="6" s="1"/>
  <c r="B27" i="6"/>
  <c r="G27" i="6" s="1"/>
  <c r="H27" i="6" s="1"/>
  <c r="D27" i="6" s="1"/>
  <c r="B52" i="6"/>
  <c r="G52" i="6" s="1"/>
  <c r="B42" i="6"/>
  <c r="G42" i="6" s="1"/>
  <c r="B79" i="4"/>
  <c r="A57" i="6" s="1"/>
  <c r="B55" i="4"/>
  <c r="A38" i="6" s="1"/>
  <c r="B77" i="4"/>
  <c r="A55" i="6" s="1"/>
  <c r="B87" i="4"/>
  <c r="A62" i="6" s="1"/>
  <c r="B75" i="4"/>
  <c r="A54" i="6" s="1"/>
  <c r="B43" i="4"/>
  <c r="A28" i="6" s="1"/>
  <c r="B37" i="4"/>
  <c r="A23" i="6" s="1"/>
  <c r="B49" i="4"/>
  <c r="A33" i="6" s="1"/>
  <c r="B85" i="4"/>
  <c r="A60" i="6" s="1"/>
  <c r="B50" i="4"/>
  <c r="A34" i="6" s="1"/>
  <c r="A24" i="6"/>
  <c r="B31" i="4"/>
  <c r="A18" i="6" s="1"/>
  <c r="B39" i="6"/>
  <c r="G39" i="6" s="1"/>
  <c r="F24" i="6"/>
  <c r="B44" i="6"/>
  <c r="G44" i="6" s="1"/>
  <c r="G19" i="6"/>
  <c r="H19" i="6" s="1"/>
  <c r="F37" i="6"/>
  <c r="H37" i="6" s="1"/>
  <c r="D37" i="6" s="1"/>
  <c r="F42" i="6"/>
  <c r="B21" i="6"/>
  <c r="B36" i="6" s="1"/>
  <c r="G36" i="6" s="1"/>
  <c r="G15" i="6"/>
  <c r="H15" i="6" s="1"/>
  <c r="C17" i="6"/>
  <c r="B20" i="6"/>
  <c r="B25" i="6" s="1"/>
  <c r="G25" i="6" s="1"/>
  <c r="C14" i="6"/>
  <c r="G17" i="6"/>
  <c r="H17" i="6" s="1"/>
  <c r="G67" i="4"/>
  <c r="G31" i="4"/>
  <c r="F20" i="6"/>
  <c r="G43" i="4"/>
  <c r="A26" i="6"/>
  <c r="G49" i="4"/>
  <c r="C12" i="6"/>
  <c r="G37" i="4"/>
  <c r="B58" i="4"/>
  <c r="A41" i="6" s="1"/>
  <c r="G61" i="4"/>
  <c r="C11" i="6"/>
  <c r="B34" i="4"/>
  <c r="A21" i="6" s="1"/>
  <c r="B33" i="4"/>
  <c r="A20" i="6" s="1"/>
  <c r="C4" i="6"/>
  <c r="D7" i="6"/>
  <c r="C7" i="6"/>
  <c r="C8" i="6"/>
  <c r="D8" i="6"/>
  <c r="D10" i="6"/>
  <c r="C10" i="6"/>
  <c r="G74" i="4"/>
  <c r="B68" i="4"/>
  <c r="A49" i="6" s="1"/>
  <c r="C9" i="6"/>
  <c r="B62" i="4"/>
  <c r="A44" i="6" s="1"/>
  <c r="B56" i="4"/>
  <c r="A39" i="6" s="1"/>
  <c r="B69" i="4"/>
  <c r="A50" i="6" s="1"/>
  <c r="C6" i="6"/>
  <c r="G5" i="6"/>
  <c r="H5" i="6" s="1"/>
  <c r="B51" i="4"/>
  <c r="A35" i="6" s="1"/>
  <c r="B52" i="4"/>
  <c r="A36" i="6" s="1"/>
  <c r="B70" i="4"/>
  <c r="A51" i="6" s="1"/>
  <c r="B71" i="4"/>
  <c r="A52" i="6" s="1"/>
  <c r="B63" i="4"/>
  <c r="A45" i="6" s="1"/>
  <c r="A25" i="6"/>
  <c r="D74" i="4"/>
  <c r="D43" i="4"/>
  <c r="B59" i="4"/>
  <c r="A42" i="6" s="1"/>
  <c r="B65" i="4"/>
  <c r="A47" i="6" s="1"/>
  <c r="A27" i="6"/>
  <c r="G64" i="6"/>
  <c r="D37" i="4"/>
  <c r="D61" i="4"/>
  <c r="D49" i="4"/>
  <c r="D67" i="4"/>
  <c r="D55" i="4"/>
  <c r="D31" i="4"/>
  <c r="AB11" i="5" l="1"/>
  <c r="AB5" i="5"/>
  <c r="AB14" i="5"/>
  <c r="V15" i="5"/>
  <c r="E15" i="5" s="1"/>
  <c r="X15" i="5" s="1"/>
  <c r="H42" i="6"/>
  <c r="D42" i="6" s="1"/>
  <c r="D19" i="6"/>
  <c r="C19" i="6"/>
  <c r="AB13" i="5"/>
  <c r="AB12" i="5"/>
  <c r="F69" i="6"/>
  <c r="C69" i="6" s="1"/>
  <c r="V12" i="5"/>
  <c r="G12" i="5" s="1"/>
  <c r="V9" i="5"/>
  <c r="G9" i="5" s="1"/>
  <c r="V11" i="5"/>
  <c r="E11" i="5" s="1"/>
  <c r="V6" i="5"/>
  <c r="G6" i="5" s="1"/>
  <c r="V14" i="5"/>
  <c r="V5" i="5"/>
  <c r="V13" i="5"/>
  <c r="AB16" i="5"/>
  <c r="V8" i="5"/>
  <c r="G8" i="5" s="1"/>
  <c r="V18" i="5"/>
  <c r="G18" i="5" s="1"/>
  <c r="AB18" i="5"/>
  <c r="AB15" i="5"/>
  <c r="AB10" i="5"/>
  <c r="V7" i="5"/>
  <c r="G7" i="5" s="1"/>
  <c r="V16" i="5"/>
  <c r="G16" i="5" s="1"/>
  <c r="AB8" i="5"/>
  <c r="V17" i="5"/>
  <c r="G17" i="5" s="1"/>
  <c r="V10" i="5"/>
  <c r="AB17" i="5"/>
  <c r="AB7" i="5"/>
  <c r="AB9" i="5"/>
  <c r="F25" i="6"/>
  <c r="F30" i="6" s="1"/>
  <c r="B35" i="6"/>
  <c r="G35" i="6" s="1"/>
  <c r="F47" i="6"/>
  <c r="H47" i="6" s="1"/>
  <c r="F52" i="6"/>
  <c r="H52" i="6" s="1"/>
  <c r="D22" i="6"/>
  <c r="C22" i="6"/>
  <c r="C27" i="6"/>
  <c r="G21" i="6"/>
  <c r="H21" i="6" s="1"/>
  <c r="B51" i="6"/>
  <c r="G51" i="6" s="1"/>
  <c r="F26" i="6"/>
  <c r="B41" i="6"/>
  <c r="G41" i="6" s="1"/>
  <c r="B46" i="6"/>
  <c r="G46" i="6" s="1"/>
  <c r="B31" i="6"/>
  <c r="G31" i="6" s="1"/>
  <c r="B26" i="6"/>
  <c r="G26" i="6" s="1"/>
  <c r="C37" i="6"/>
  <c r="F45" i="6"/>
  <c r="H25" i="6"/>
  <c r="F66" i="6"/>
  <c r="F50" i="6"/>
  <c r="F40" i="6"/>
  <c r="K65" i="6"/>
  <c r="H32" i="6"/>
  <c r="G20" i="6"/>
  <c r="H20" i="6" s="1"/>
  <c r="B30" i="6"/>
  <c r="G30" i="6" s="1"/>
  <c r="B40" i="6"/>
  <c r="G40" i="6" s="1"/>
  <c r="B45" i="6"/>
  <c r="G45" i="6" s="1"/>
  <c r="F34" i="6"/>
  <c r="H34" i="6" s="1"/>
  <c r="F49" i="6"/>
  <c r="H49" i="6" s="1"/>
  <c r="F29" i="6"/>
  <c r="H29" i="6" s="1"/>
  <c r="F39" i="6"/>
  <c r="H39" i="6" s="1"/>
  <c r="F65" i="6"/>
  <c r="H24" i="6"/>
  <c r="F44" i="6"/>
  <c r="H44" i="6" s="1"/>
  <c r="K68" i="6"/>
  <c r="D17" i="6"/>
  <c r="D15" i="6"/>
  <c r="C15" i="6"/>
  <c r="B50" i="6"/>
  <c r="G50" i="6" s="1"/>
  <c r="D5" i="6"/>
  <c r="C5" i="6"/>
  <c r="B64" i="6"/>
  <c r="H64" i="6"/>
  <c r="G68" i="6" l="1"/>
  <c r="H68" i="6" s="1"/>
  <c r="C68" i="6" s="1"/>
  <c r="F11" i="5"/>
  <c r="F12" i="5"/>
  <c r="H12" i="5"/>
  <c r="C42" i="6"/>
  <c r="I12" i="5"/>
  <c r="E12" i="5"/>
  <c r="X12" i="5" s="1"/>
  <c r="J12" i="5"/>
  <c r="R12" i="5"/>
  <c r="G15" i="5"/>
  <c r="F15" i="5"/>
  <c r="R15" i="5"/>
  <c r="I15" i="5"/>
  <c r="H15" i="5"/>
  <c r="J15" i="5"/>
  <c r="R11" i="5"/>
  <c r="I6" i="5"/>
  <c r="R6" i="5"/>
  <c r="J11" i="5"/>
  <c r="H11" i="5"/>
  <c r="I9" i="5"/>
  <c r="E6" i="5"/>
  <c r="X6" i="5" s="1"/>
  <c r="R9" i="5"/>
  <c r="H6" i="5"/>
  <c r="F6" i="5"/>
  <c r="J6" i="5"/>
  <c r="J9" i="5"/>
  <c r="I11" i="5"/>
  <c r="F9" i="5"/>
  <c r="G11" i="5"/>
  <c r="E9" i="5"/>
  <c r="X9" i="5" s="1"/>
  <c r="H9" i="5"/>
  <c r="H13" i="5"/>
  <c r="R13" i="5"/>
  <c r="I13" i="5"/>
  <c r="E13" i="5"/>
  <c r="J13" i="5"/>
  <c r="F13" i="5"/>
  <c r="G13" i="5"/>
  <c r="E5" i="5"/>
  <c r="G5" i="5"/>
  <c r="H5" i="5"/>
  <c r="F5" i="5"/>
  <c r="I5" i="5"/>
  <c r="J5" i="5"/>
  <c r="R5" i="5"/>
  <c r="G14" i="5"/>
  <c r="J14" i="5"/>
  <c r="H14" i="5"/>
  <c r="I14" i="5"/>
  <c r="F14" i="5"/>
  <c r="R14" i="5"/>
  <c r="E14" i="5"/>
  <c r="H10" i="5"/>
  <c r="E10" i="5"/>
  <c r="I10" i="5"/>
  <c r="R10" i="5"/>
  <c r="F10" i="5"/>
  <c r="J10" i="5"/>
  <c r="G10" i="5"/>
  <c r="G66" i="6"/>
  <c r="H66" i="6" s="1"/>
  <c r="I18" i="5"/>
  <c r="R18" i="5"/>
  <c r="E18" i="5"/>
  <c r="H18" i="5"/>
  <c r="F18" i="5"/>
  <c r="J18" i="5"/>
  <c r="I17" i="5"/>
  <c r="E17" i="5"/>
  <c r="J17" i="5"/>
  <c r="F17" i="5"/>
  <c r="H17" i="5"/>
  <c r="R17" i="5"/>
  <c r="G67" i="6"/>
  <c r="E16" i="5"/>
  <c r="J16" i="5"/>
  <c r="I16" i="5"/>
  <c r="R16" i="5"/>
  <c r="H16" i="5"/>
  <c r="F16" i="5"/>
  <c r="J8" i="5"/>
  <c r="I8" i="5"/>
  <c r="H8" i="5"/>
  <c r="F8" i="5"/>
  <c r="E8" i="5"/>
  <c r="R8" i="5"/>
  <c r="G65" i="6"/>
  <c r="H65" i="6" s="1"/>
  <c r="R7" i="5"/>
  <c r="F7" i="5"/>
  <c r="I7" i="5"/>
  <c r="J7" i="5"/>
  <c r="H7" i="5"/>
  <c r="E7" i="5"/>
  <c r="X11" i="5"/>
  <c r="D52" i="6"/>
  <c r="C52" i="6"/>
  <c r="C47" i="6"/>
  <c r="D47" i="6"/>
  <c r="H40" i="6"/>
  <c r="D40" i="6" s="1"/>
  <c r="F35" i="6"/>
  <c r="H35" i="6" s="1"/>
  <c r="D35" i="6" s="1"/>
  <c r="F54" i="6"/>
  <c r="F63" i="6" s="1"/>
  <c r="H63" i="6" s="1"/>
  <c r="H54" i="6"/>
  <c r="F62" i="6"/>
  <c r="H62" i="6" s="1"/>
  <c r="F57" i="6"/>
  <c r="H57" i="6" s="1"/>
  <c r="D20" i="6"/>
  <c r="C20" i="6"/>
  <c r="K66" i="6"/>
  <c r="C2" i="6"/>
  <c r="B2" i="6"/>
  <c r="H45" i="6"/>
  <c r="D39" i="6"/>
  <c r="C39" i="6"/>
  <c r="D29" i="6"/>
  <c r="C29" i="6"/>
  <c r="F67" i="6"/>
  <c r="F31" i="6"/>
  <c r="H31" i="6" s="1"/>
  <c r="F46" i="6"/>
  <c r="H46" i="6" s="1"/>
  <c r="F41" i="6"/>
  <c r="H41" i="6" s="1"/>
  <c r="H26" i="6"/>
  <c r="F36" i="6"/>
  <c r="H36" i="6" s="1"/>
  <c r="F51" i="6"/>
  <c r="H51" i="6" s="1"/>
  <c r="D49" i="6"/>
  <c r="C49" i="6"/>
  <c r="D34" i="6"/>
  <c r="C34" i="6"/>
  <c r="D21" i="6"/>
  <c r="K67" i="6"/>
  <c r="C21" i="6"/>
  <c r="D32" i="6"/>
  <c r="C32" i="6"/>
  <c r="C40" i="6"/>
  <c r="H50" i="6"/>
  <c r="C35" i="6"/>
  <c r="D44" i="6"/>
  <c r="C44" i="6"/>
  <c r="D25" i="6"/>
  <c r="C25" i="6"/>
  <c r="D24" i="6"/>
  <c r="C24" i="6"/>
  <c r="H30" i="6"/>
  <c r="C64" i="6"/>
  <c r="D64" i="6"/>
  <c r="S15" i="5"/>
  <c r="S12" i="5"/>
  <c r="S9" i="5"/>
  <c r="S11" i="5"/>
  <c r="D68" i="6" l="1"/>
  <c r="F58" i="6"/>
  <c r="H58" i="6" s="1"/>
  <c r="F60" i="6"/>
  <c r="H60" i="6" s="1"/>
  <c r="C66" i="6"/>
  <c r="D66" i="6"/>
  <c r="X14" i="5"/>
  <c r="X5" i="5"/>
  <c r="X13" i="5"/>
  <c r="X7" i="5"/>
  <c r="G69" i="6" a="1"/>
  <c r="G69" i="6" s="1"/>
  <c r="H69" i="6" s="1"/>
  <c r="X16" i="5"/>
  <c r="S16" i="5"/>
  <c r="X8" i="5"/>
  <c r="X17" i="5"/>
  <c r="X10" i="5"/>
  <c r="X18" i="5"/>
  <c r="H67" i="6"/>
  <c r="D67" i="6" s="1"/>
  <c r="F55" i="6"/>
  <c r="F59" i="6"/>
  <c r="H59" i="6" s="1"/>
  <c r="D45" i="6"/>
  <c r="C45" i="6"/>
  <c r="D30" i="6"/>
  <c r="C30" i="6"/>
  <c r="D65" i="6"/>
  <c r="C65" i="6"/>
  <c r="D51" i="6"/>
  <c r="C51" i="6"/>
  <c r="D57" i="6"/>
  <c r="C57" i="6"/>
  <c r="D36" i="6"/>
  <c r="C36" i="6"/>
  <c r="D26" i="6"/>
  <c r="C26" i="6"/>
  <c r="D54" i="6"/>
  <c r="C54" i="6"/>
  <c r="D60" i="6"/>
  <c r="C60" i="6"/>
  <c r="D46" i="6"/>
  <c r="C46" i="6"/>
  <c r="F56" i="6"/>
  <c r="H56" i="6" s="1"/>
  <c r="H55" i="6"/>
  <c r="D31" i="6"/>
  <c r="C31" i="6"/>
  <c r="D59" i="6"/>
  <c r="C59" i="6"/>
  <c r="D50" i="6"/>
  <c r="C50" i="6"/>
  <c r="D63" i="6"/>
  <c r="C63" i="6"/>
  <c r="D62" i="6"/>
  <c r="C62" i="6"/>
  <c r="D41" i="6"/>
  <c r="C41" i="6"/>
  <c r="D58" i="6"/>
  <c r="C58" i="6"/>
  <c r="S18" i="5"/>
  <c r="S17" i="5"/>
  <c r="T16" i="5"/>
  <c r="S8" i="5"/>
  <c r="S14" i="5"/>
  <c r="S7" i="5"/>
  <c r="S6" i="5"/>
  <c r="S10" i="5"/>
  <c r="T9" i="5"/>
  <c r="S13" i="5"/>
  <c r="T15" i="5"/>
  <c r="T12" i="5"/>
  <c r="T11" i="5"/>
  <c r="S5" i="5"/>
  <c r="C67" i="6" l="1"/>
  <c r="D55" i="6"/>
  <c r="C55" i="6"/>
  <c r="H70" i="6"/>
  <c r="D2" i="6" s="1"/>
  <c r="D56" i="6"/>
  <c r="C56" i="6"/>
  <c r="T5" i="5"/>
  <c r="T17" i="5"/>
  <c r="T18" i="5"/>
  <c r="T6" i="5"/>
  <c r="T10" i="5"/>
  <c r="T8" i="5"/>
  <c r="T7" i="5"/>
  <c r="T13" i="5"/>
  <c r="T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<sst xmlns="http://schemas.openxmlformats.org/spreadsheetml/2006/main" count="22558" uniqueCount="15892">
  <si>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</si>
  <si>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</si>
  <si>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</si>
  <si>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</si>
  <si>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</si>
  <si>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</si>
  <si>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</si>
  <si>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</si>
  <si>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</si>
  <si>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</si>
  <si>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</si>
  <si>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</si>
  <si>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</si>
  <si>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</si>
  <si>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</si>
  <si>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</si>
  <si>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</si>
  <si>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</si>
  <si>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</si>
  <si>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</si>
  <si>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</si>
  <si>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</si>
  <si>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</si>
  <si>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</si>
  <si>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</si>
  <si>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</si>
  <si>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</si>
  <si>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</si>
  <si>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</si>
  <si>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</si>
  <si>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</si>
  <si>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</si>
  <si>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</si>
  <si>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</si>
  <si>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</si>
  <si>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</si>
  <si>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</si>
  <si>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</si>
  <si>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</si>
  <si>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</si>
  <si>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</si>
  <si>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</si>
  <si>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</si>
  <si>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</si>
  <si>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</si>
  <si>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</si>
  <si>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</si>
  <si>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</si>
  <si>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</si>
  <si>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</si>
  <si>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</si>
  <si>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</si>
  <si>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</si>
  <si>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</si>
  <si>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</si>
  <si>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</si>
  <si>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</si>
  <si>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</si>
  <si>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</si>
  <si>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</si>
  <si>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</si>
  <si>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</si>
  <si>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</si>
  <si>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</si>
  <si>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</si>
  <si>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</si>
  <si>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</si>
  <si>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</si>
  <si>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</si>
  <si>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</si>
  <si>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</si>
  <si>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</si>
  <si>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</si>
  <si>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</si>
  <si>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</si>
  <si>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</si>
  <si>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</si>
  <si>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</si>
  <si>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</si>
  <si>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</si>
  <si>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</si>
  <si>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</si>
  <si>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</si>
  <si>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</si>
  <si>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</si>
  <si>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</si>
  <si>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</si>
  <si>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</si>
  <si>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</si>
  <si>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</si>
  <si>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</si>
  <si>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</si>
  <si>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</si>
  <si>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</si>
  <si>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</si>
  <si>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</si>
  <si>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</si>
  <si>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</si>
  <si>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</si>
  <si>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</si>
  <si>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</si>
  <si>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</si>
  <si>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</si>
  <si>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</si>
  <si>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</si>
  <si>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</si>
  <si>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</si>
  <si>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</si>
  <si>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</si>
  <si>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</si>
  <si>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</si>
  <si>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</si>
  <si>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</si>
  <si>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</si>
  <si>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</si>
  <si>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</si>
  <si>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</si>
  <si>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</si>
  <si>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</si>
  <si>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</si>
  <si>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</si>
  <si>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</si>
  <si>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</si>
  <si>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</si>
  <si>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</si>
  <si>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</si>
  <si>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</si>
  <si>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</si>
  <si>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</si>
  <si>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</si>
  <si>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</si>
  <si>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</si>
  <si>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</si>
  <si>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</si>
  <si>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</si>
  <si>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</si>
  <si>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</si>
  <si>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</si>
  <si>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</si>
  <si>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</si>
  <si>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</si>
  <si>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</si>
  <si>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</si>
  <si>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</si>
  <si>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</si>
  <si>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</si>
  <si>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</si>
  <si>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</si>
  <si>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</si>
  <si>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</si>
  <si>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</si>
  <si>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</si>
  <si>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</si>
  <si>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</si>
  <si>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</si>
  <si>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</si>
  <si>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</si>
  <si>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</si>
  <si>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</si>
  <si>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</si>
  <si>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</si>
  <si>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</si>
  <si>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</si>
  <si>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</si>
  <si>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</si>
  <si>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</si>
  <si>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</si>
  <si>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</si>
  <si>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</si>
  <si>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</si>
  <si>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</si>
  <si>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</si>
  <si>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</si>
  <si>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</si>
  <si>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</si>
  <si>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</si>
  <si>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</si>
  <si>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</si>
  <si>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</si>
  <si>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</si>
  <si>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</si>
  <si>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</si>
  <si>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</si>
  <si>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</si>
  <si>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</si>
  <si>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</si>
  <si>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</si>
  <si>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</si>
  <si>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</si>
  <si>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</si>
  <si>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</si>
  <si>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</si>
  <si>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</si>
  <si>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</si>
  <si>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</si>
  <si>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</si>
  <si>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</si>
  <si>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</si>
  <si>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</si>
  <si>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</si>
  <si>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</si>
  <si>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</si>
  <si>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</si>
  <si>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</si>
  <si>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</si>
  <si>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</si>
  <si>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</si>
  <si>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</si>
  <si>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</si>
  <si>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</si>
  <si>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</si>
  <si>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</si>
  <si>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</si>
  <si>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</si>
  <si>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</si>
  <si>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</si>
  <si>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</si>
  <si>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</si>
  <si>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</si>
  <si>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</si>
  <si>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</si>
  <si>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</si>
  <si>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</si>
  <si>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</si>
  <si>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</si>
  <si>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</si>
  <si>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</si>
  <si>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</si>
  <si>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</si>
  <si>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</si>
  <si>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</si>
  <si>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</si>
  <si>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</si>
  <si>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</si>
  <si>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</si>
  <si>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</si>
  <si>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</si>
  <si>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</si>
  <si>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</si>
  <si>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</si>
  <si>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</si>
  <si>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</si>
  <si>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</si>
  <si>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</si>
  <si>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</si>
  <si>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</si>
  <si>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</si>
  <si>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</si>
  <si>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</si>
  <si>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</si>
  <si>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</si>
  <si>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</si>
  <si>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</si>
  <si>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</si>
  <si>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</si>
  <si>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</si>
  <si>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</si>
  <si>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</si>
  <si>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</si>
  <si>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</si>
  <si>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</si>
  <si>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</si>
  <si>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</si>
  <si>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</si>
  <si>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</si>
  <si>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</si>
  <si>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</si>
  <si>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</si>
  <si>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</si>
  <si>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</si>
  <si>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</si>
  <si>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</si>
  <si>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</si>
  <si>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</si>
  <si>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</si>
  <si>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</si>
  <si>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</si>
  <si>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</si>
  <si>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</si>
  <si>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</si>
  <si>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</si>
  <si>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</si>
  <si>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</si>
  <si>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</si>
  <si>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</si>
  <si>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</si>
  <si>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</si>
  <si>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</si>
  <si>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</si>
  <si>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</si>
  <si>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</si>
  <si>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</si>
  <si>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</si>
  <si>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</si>
  <si>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</si>
  <si>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</si>
  <si>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</si>
  <si>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</si>
  <si>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</si>
  <si>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</si>
  <si>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</si>
  <si>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</si>
  <si>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</si>
  <si>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</si>
  <si>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</si>
  <si>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</si>
  <si>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</si>
  <si>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</si>
  <si>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</si>
  <si>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</si>
  <si>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</si>
  <si>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</si>
  <si>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</si>
  <si>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</si>
  <si>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</si>
  <si>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</si>
  <si>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</si>
  <si>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</si>
  <si>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</si>
  <si>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</si>
  <si>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</si>
  <si>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</si>
  <si>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</si>
  <si>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</si>
  <si>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</si>
  <si>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</si>
  <si>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</si>
  <si>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</si>
  <si>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</si>
  <si>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</si>
  <si>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</si>
  <si>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</si>
  <si>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</si>
  <si>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</si>
  <si>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</si>
  <si>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</si>
  <si>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</si>
  <si>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</si>
  <si>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</si>
  <si>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</si>
  <si>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</si>
  <si>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</si>
  <si>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</si>
  <si>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</si>
  <si>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</si>
  <si>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</si>
  <si>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</si>
  <si>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</si>
  <si>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</si>
  <si>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</si>
  <si>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</si>
  <si>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</si>
  <si>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</si>
  <si>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</si>
  <si>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</si>
  <si>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</si>
  <si>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</si>
  <si>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</si>
  <si>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</si>
  <si>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</si>
  <si>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</si>
  <si>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</si>
  <si>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</si>
  <si>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</si>
  <si>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</si>
  <si>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</si>
  <si>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</si>
  <si>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</si>
  <si>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</si>
  <si>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</si>
  <si>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</si>
  <si>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</si>
  <si>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</si>
  <si>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</si>
  <si>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</si>
  <si>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</si>
  <si>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</si>
  <si>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</si>
  <si>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</si>
  <si>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</si>
  <si>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</si>
  <si>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</si>
  <si>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</si>
  <si>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</si>
  <si>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</si>
  <si>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</si>
  <si>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</si>
  <si>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</si>
  <si>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</si>
  <si>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</si>
  <si>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</si>
  <si>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</si>
  <si>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</si>
  <si>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</si>
  <si>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</si>
  <si>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</si>
  <si>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</si>
  <si>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</si>
  <si>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</si>
  <si>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</si>
  <si>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</si>
  <si>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</si>
  <si>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</si>
  <si>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</si>
  <si>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</si>
  <si>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</si>
  <si>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</si>
  <si>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</si>
  <si>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</si>
  <si>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</si>
  <si>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</si>
  <si>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</si>
  <si>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</si>
  <si>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</si>
  <si>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</si>
  <si>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</si>
  <si>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</si>
  <si>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</si>
  <si>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</si>
  <si>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</si>
  <si>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</si>
  <si>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</si>
  <si>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</si>
  <si>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</si>
  <si>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</si>
  <si>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</si>
  <si>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</si>
  <si>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</si>
  <si>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</si>
  <si>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</si>
  <si>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</si>
  <si>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</si>
  <si>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</si>
  <si>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</si>
  <si>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</si>
  <si>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</si>
  <si>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</si>
  <si>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</si>
  <si>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</si>
  <si>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</si>
  <si>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</si>
  <si>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</si>
  <si>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</si>
  <si>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</si>
  <si>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</si>
  <si>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</si>
  <si>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</si>
  <si>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</si>
  <si>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</si>
  <si>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</si>
  <si>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</si>
  <si>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</si>
  <si>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</si>
  <si>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</si>
  <si>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</si>
  <si>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</si>
  <si>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</si>
  <si>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</si>
  <si>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</si>
  <si>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</si>
  <si>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</si>
  <si>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</si>
  <si>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</si>
  <si>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</si>
  <si>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</si>
  <si>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</si>
  <si>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</si>
  <si>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</si>
  <si>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</si>
  <si>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</si>
  <si>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</si>
  <si>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</si>
  <si>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</si>
  <si>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</si>
  <si>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</si>
  <si>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</si>
  <si>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</si>
  <si>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</si>
  <si>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</si>
  <si>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</si>
  <si>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</si>
  <si>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</si>
  <si>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</si>
  <si>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</si>
  <si>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</si>
  <si>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</si>
  <si>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</si>
  <si>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</si>
  <si>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</si>
  <si>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</si>
  <si>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</si>
  <si>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</si>
  <si>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</si>
  <si>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</si>
  <si>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</si>
  <si>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</si>
  <si>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</si>
  <si>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</si>
  <si>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</si>
  <si>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</si>
  <si>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</si>
  <si>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</si>
  <si>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</si>
  <si>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</si>
  <si>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</si>
  <si>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</si>
  <si>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</si>
  <si>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</si>
  <si>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</si>
  <si>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</si>
  <si>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</si>
  <si>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</si>
  <si>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</si>
  <si>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</si>
  <si>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</si>
  <si>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</si>
  <si>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</si>
  <si>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</si>
  <si>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</si>
  <si>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</si>
  <si>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</si>
  <si>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</si>
  <si>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</si>
  <si>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</si>
  <si>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</si>
  <si>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</si>
  <si>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</si>
  <si>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</si>
  <si>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</si>
  <si>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</si>
  <si>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</si>
  <si>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</si>
  <si>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</si>
  <si>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</si>
  <si>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</si>
  <si>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</si>
  <si>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</si>
  <si>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</si>
  <si>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</si>
  <si>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</si>
  <si>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</si>
  <si>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</si>
  <si>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</si>
  <si>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</si>
  <si>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</si>
  <si>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</si>
  <si>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</si>
  <si>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</si>
  <si>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</si>
  <si>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</si>
  <si>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</si>
  <si>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</si>
  <si>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</si>
  <si>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</si>
  <si>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</si>
  <si>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</si>
  <si>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</si>
  <si>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</si>
  <si>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</si>
  <si>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</si>
  <si>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</si>
  <si>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</si>
  <si>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</si>
  <si>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</si>
  <si>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</si>
  <si>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</si>
  <si>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</si>
  <si>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</si>
  <si>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</si>
  <si>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</si>
  <si>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</si>
  <si>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</si>
  <si>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</si>
  <si>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</si>
  <si>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</si>
  <si>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</si>
  <si>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</si>
  <si>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</si>
  <si>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</si>
  <si>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</si>
  <si>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</si>
  <si>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</si>
  <si>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</si>
  <si>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</si>
  <si>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</si>
  <si>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</si>
  <si>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</si>
  <si>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</si>
  <si>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</si>
  <si>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</si>
  <si>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</si>
  <si>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</si>
  <si>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</si>
  <si>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</si>
  <si>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</si>
  <si>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</si>
  <si>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</si>
  <si>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</si>
  <si>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</si>
  <si>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</si>
  <si>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</si>
  <si>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</si>
  <si>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</si>
  <si>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</si>
  <si>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</si>
  <si>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</si>
  <si>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</si>
  <si>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</si>
  <si>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</si>
  <si>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</si>
  <si>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</si>
  <si>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</si>
  <si>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</si>
  <si>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</si>
  <si>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</si>
  <si>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</si>
  <si>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</si>
  <si>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</si>
  <si>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</si>
  <si>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</si>
  <si>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</si>
  <si>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</si>
  <si>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</si>
  <si>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</si>
  <si>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</si>
  <si>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</si>
  <si>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</si>
  <si>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</si>
  <si>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</si>
  <si>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</si>
  <si>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</si>
  <si>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</si>
  <si>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</si>
  <si>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</si>
  <si>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</si>
  <si>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</si>
  <si>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</si>
  <si>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</si>
  <si>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</si>
  <si>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</si>
  <si>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</si>
  <si>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</si>
  <si>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</si>
  <si>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</si>
  <si>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</si>
  <si>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</si>
  <si>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</si>
  <si>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</si>
  <si>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</si>
  <si>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</si>
  <si>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</si>
  <si>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</si>
  <si>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</si>
  <si>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</si>
  <si>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</si>
  <si>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</si>
  <si>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</si>
  <si>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</si>
  <si>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</si>
  <si>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</si>
  <si>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</si>
  <si>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</si>
  <si>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</si>
  <si>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</si>
  <si>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</si>
  <si>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</si>
  <si>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</si>
  <si>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</si>
  <si>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</si>
  <si>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</si>
  <si>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</si>
  <si>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</si>
  <si>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</si>
  <si>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</si>
  <si>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</si>
  <si>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</si>
  <si>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</si>
  <si>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</si>
  <si>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</si>
  <si>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</si>
  <si>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</si>
  <si>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</si>
  <si>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</si>
  <si>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</si>
  <si>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</si>
  <si>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</si>
  <si>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</si>
  <si>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</si>
  <si>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</si>
  <si>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</si>
  <si>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</si>
  <si>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</si>
  <si>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</si>
  <si>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</si>
  <si>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</si>
  <si>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</si>
  <si>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</si>
  <si>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</si>
  <si>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</si>
  <si>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</si>
  <si>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</si>
  <si>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</si>
  <si>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</si>
  <si>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</si>
  <si>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</si>
  <si>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</si>
  <si>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</si>
  <si>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</si>
  <si>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</si>
  <si>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</si>
  <si>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</si>
  <si>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</si>
  <si>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</si>
  <si>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</si>
  <si>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</si>
  <si>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</si>
  <si>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</si>
  <si>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</si>
  <si>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</si>
  <si>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</si>
  <si>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</si>
  <si>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</si>
  <si>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</si>
  <si>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</si>
  <si>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</si>
  <si>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</si>
  <si>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</si>
  <si>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</si>
  <si>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</si>
  <si>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</si>
  <si>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</si>
  <si>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</si>
  <si>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</si>
  <si>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</si>
  <si>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</si>
  <si>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</si>
  <si>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</si>
  <si>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</si>
  <si>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</si>
  <si>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</si>
  <si>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</si>
  <si>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</si>
  <si>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</si>
  <si>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</si>
  <si>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</si>
  <si>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</si>
  <si>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</si>
  <si>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</si>
  <si>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</si>
  <si>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</si>
  <si>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</si>
  <si>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</si>
  <si>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</si>
  <si>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</si>
  <si>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</si>
  <si>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</si>
  <si>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</si>
  <si>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</si>
  <si>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</si>
  <si>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</si>
  <si>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</si>
  <si>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</si>
  <si>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</si>
  <si>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</si>
  <si>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</si>
  <si>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</si>
  <si>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</si>
  <si>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</si>
  <si>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</si>
  <si>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</si>
  <si>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</si>
  <si>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</si>
  <si>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</si>
  <si>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</si>
  <si>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</si>
  <si>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</si>
  <si>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</si>
  <si>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</si>
  <si>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</si>
  <si>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</si>
  <si>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</si>
  <si>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</si>
  <si>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</si>
  <si>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</si>
  <si>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</si>
  <si>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</si>
  <si>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</si>
  <si>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</si>
  <si>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</si>
  <si>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</si>
  <si>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</si>
  <si>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</si>
  <si>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</si>
  <si>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</si>
  <si>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</si>
  <si>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</si>
  <si>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</si>
  <si>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</si>
  <si>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</si>
  <si>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</si>
  <si>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</si>
  <si>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</si>
  <si>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</si>
  <si>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</si>
  <si>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</si>
  <si>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</si>
  <si>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</si>
  <si>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</si>
  <si>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</si>
  <si>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</si>
  <si>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</si>
  <si>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</si>
  <si>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</si>
  <si>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</si>
  <si>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</si>
  <si>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</si>
  <si>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</si>
  <si>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</si>
  <si>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</si>
  <si>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</si>
  <si>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</si>
  <si>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</si>
  <si>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</si>
  <si>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</si>
  <si>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</si>
  <si>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</si>
  <si>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</si>
  <si>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</si>
  <si>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</si>
  <si>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</si>
  <si>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</si>
  <si>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</si>
  <si>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</si>
  <si>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</si>
  <si>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</si>
  <si>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</si>
  <si>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</si>
  <si>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</si>
  <si>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</si>
  <si>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</si>
  <si>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</si>
  <si>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</si>
  <si>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</si>
  <si>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</si>
  <si>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</si>
  <si>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</si>
  <si>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</si>
  <si>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</si>
  <si>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</si>
  <si>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</si>
  <si>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</si>
  <si>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</si>
  <si>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</si>
  <si>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</si>
  <si>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</si>
  <si>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</si>
  <si>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</si>
  <si>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</si>
  <si>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</si>
  <si>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</si>
  <si>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</si>
  <si>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</si>
  <si>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</si>
  <si>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</si>
  <si>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</si>
  <si>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</si>
  <si>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</si>
  <si>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</si>
  <si>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</si>
  <si>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</si>
  <si>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</si>
  <si>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</si>
  <si>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</si>
  <si>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</si>
  <si>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</si>
  <si>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</si>
  <si>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</si>
  <si>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</si>
  <si>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</si>
  <si>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</si>
  <si>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</si>
  <si>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</si>
  <si>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</si>
  <si>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</si>
  <si>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</si>
  <si>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</si>
  <si>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</si>
  <si>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</si>
  <si>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</si>
  <si>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</si>
  <si>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</si>
  <si>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</si>
  <si>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</si>
  <si>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</si>
  <si>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</si>
  <si>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</si>
  <si>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</si>
  <si>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</si>
  <si>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</si>
  <si>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</si>
  <si>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</si>
  <si>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</si>
  <si>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</si>
  <si>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</si>
  <si>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</si>
  <si>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</si>
  <si>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</si>
  <si>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</si>
  <si>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</si>
  <si>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</si>
  <si>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</si>
  <si>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</si>
  <si>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</si>
  <si>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</si>
  <si>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</si>
  <si>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</si>
  <si>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</si>
  <si>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</si>
  <si>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</si>
  <si>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</si>
  <si>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</si>
  <si>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</si>
  <si>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</si>
  <si>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</si>
  <si>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</si>
  <si>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</si>
  <si>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</si>
  <si>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</si>
  <si>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</si>
  <si>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</si>
  <si>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</si>
  <si>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</si>
  <si>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</si>
  <si>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</si>
  <si>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</si>
  <si>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</si>
  <si>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</si>
  <si>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</si>
  <si>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</si>
  <si>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</si>
  <si>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</si>
  <si>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</si>
  <si>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</si>
  <si>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</si>
  <si>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</si>
  <si>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</si>
  <si>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</si>
  <si>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</si>
  <si>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</si>
  <si>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</si>
  <si>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</si>
  <si>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</si>
  <si>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</si>
  <si>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</si>
  <si>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</si>
  <si>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</si>
  <si>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</si>
  <si>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</si>
  <si>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</si>
  <si>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</si>
  <si>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</si>
  <si>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</si>
  <si>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</si>
  <si>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</si>
  <si>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</si>
  <si>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</si>
  <si>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</si>
  <si>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</si>
  <si>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</si>
  <si>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</si>
  <si>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</si>
  <si>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</si>
  <si>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</si>
  <si>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</si>
  <si>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</si>
  <si>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</si>
  <si>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</si>
  <si>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</si>
  <si>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</si>
  <si>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</si>
  <si>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</si>
  <si>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</si>
  <si>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</si>
  <si>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</si>
  <si>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</si>
  <si>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</si>
  <si>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</si>
  <si>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</si>
  <si>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</si>
  <si>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</si>
  <si>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</si>
  <si>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</si>
  <si>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</si>
  <si>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</si>
  <si>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</si>
  <si>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</si>
  <si>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</si>
  <si>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</si>
  <si>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</si>
  <si>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</si>
  <si>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</si>
  <si>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</si>
  <si>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</si>
  <si>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</si>
  <si>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</si>
  <si>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</si>
  <si>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</si>
  <si>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</si>
  <si>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</si>
  <si>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</si>
  <si>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</si>
  <si>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</si>
  <si>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</si>
  <si>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</si>
  <si>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</si>
  <si>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</si>
  <si>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</si>
  <si>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</si>
  <si>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</si>
  <si>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</si>
  <si>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</si>
  <si>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</si>
  <si>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</si>
  <si>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</si>
  <si>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</si>
  <si>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</si>
  <si>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</si>
  <si>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</si>
  <si>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</si>
  <si>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</si>
  <si>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</si>
  <si>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</si>
  <si>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</si>
  <si>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</si>
  <si>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</si>
  <si>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</si>
  <si>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</si>
  <si>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</si>
  <si>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</si>
  <si>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</si>
  <si>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</si>
  <si>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</si>
  <si>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</si>
  <si>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</si>
  <si>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</si>
  <si>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</si>
  <si>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</si>
  <si>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</si>
  <si>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</si>
  <si>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</si>
  <si>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</si>
  <si>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</si>
  <si>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</si>
  <si>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</si>
  <si>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</si>
  <si>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</si>
  <si>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</si>
  <si>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</si>
  <si>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</si>
  <si>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</si>
  <si>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</si>
  <si>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</si>
  <si>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</si>
  <si>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</si>
  <si>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</si>
  <si>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</si>
  <si>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</si>
  <si>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</si>
  <si>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</si>
  <si>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</si>
  <si>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</si>
  <si>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</si>
  <si>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</si>
  <si>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</si>
  <si>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</si>
  <si>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</si>
  <si>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</si>
  <si>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</si>
  <si>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</si>
  <si>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</si>
  <si>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</si>
  <si>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</si>
  <si>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</si>
  <si>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</si>
  <si>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</si>
  <si>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</si>
  <si>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</si>
  <si>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</si>
  <si>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</si>
  <si>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</si>
  <si>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</si>
  <si>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</si>
  <si>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</si>
  <si>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</si>
  <si>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</si>
  <si>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</si>
  <si>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</si>
  <si>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</si>
  <si>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</si>
  <si>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</si>
  <si>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</si>
  <si>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</si>
  <si>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</si>
  <si>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</si>
  <si>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</si>
  <si>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</si>
  <si>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</si>
  <si>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</si>
  <si>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</si>
  <si>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</si>
  <si>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</si>
  <si>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</si>
  <si>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</si>
  <si>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</si>
  <si>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</si>
  <si>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</si>
  <si>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</si>
  <si>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</si>
  <si>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</si>
  <si>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</si>
  <si>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</si>
  <si>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</si>
  <si>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</si>
  <si>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</si>
  <si>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</si>
  <si>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</si>
  <si>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</si>
  <si>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</si>
  <si>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</si>
  <si>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</si>
  <si>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</si>
  <si>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</si>
  <si>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</si>
  <si>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</si>
  <si>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</si>
  <si>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</si>
  <si>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</si>
  <si>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</si>
  <si>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</si>
  <si>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</si>
  <si>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</si>
  <si>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</si>
  <si>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</si>
  <si>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</si>
  <si>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</si>
  <si>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</si>
  <si>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</si>
  <si>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</si>
  <si>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</si>
  <si>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</si>
  <si>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</si>
  <si>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</si>
  <si>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</si>
  <si>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</si>
  <si>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</si>
  <si>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</si>
  <si>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</si>
  <si>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</si>
  <si>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</si>
  <si>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</si>
  <si>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</si>
  <si>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</si>
  <si>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</si>
  <si>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</si>
  <si>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</si>
  <si>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</si>
  <si>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</si>
  <si>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</si>
  <si>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</si>
  <si>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</si>
  <si>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</si>
  <si>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</si>
  <si>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</si>
  <si>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</si>
  <si>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</si>
  <si>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</si>
  <si>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</si>
  <si>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</si>
  <si>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</si>
  <si>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</si>
  <si>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</si>
  <si>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</si>
  <si>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</si>
  <si>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</si>
  <si>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</si>
  <si>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</si>
  <si>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</si>
  <si>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</si>
  <si>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</si>
  <si>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</si>
  <si>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</si>
  <si>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</si>
  <si>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</si>
  <si>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</si>
  <si>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</si>
  <si>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</si>
  <si>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</si>
  <si>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</si>
  <si>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</si>
  <si>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</si>
  <si>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</si>
  <si>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</si>
  <si>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</si>
  <si>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</si>
  <si>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</si>
  <si>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</si>
  <si>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</si>
  <si>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</si>
  <si>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</si>
  <si>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</si>
  <si>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</si>
  <si>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</si>
  <si>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</si>
  <si>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</si>
  <si>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</si>
  <si>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</si>
  <si>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</si>
  <si>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</si>
  <si>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</si>
  <si>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</si>
  <si>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</si>
  <si>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</si>
  <si>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</si>
  <si>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</si>
  <si>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</si>
  <si>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</si>
  <si>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</si>
  <si>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</si>
  <si>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</si>
  <si>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</si>
  <si>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</si>
  <si>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</si>
  <si>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</si>
  <si>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</si>
  <si>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</si>
  <si>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</si>
  <si>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</si>
  <si>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</si>
  <si>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</si>
  <si>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</si>
  <si>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</si>
  <si>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</si>
  <si>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</si>
  <si>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</si>
  <si>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</si>
  <si>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</si>
  <si>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</si>
  <si>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</si>
  <si>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</si>
  <si>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</si>
  <si>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</si>
  <si>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</si>
  <si>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</si>
  <si>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</si>
  <si>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</si>
  <si>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</si>
  <si>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</si>
  <si>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</si>
  <si>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</si>
  <si>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</si>
  <si>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</si>
  <si>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</si>
  <si>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</si>
  <si>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</si>
  <si>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</si>
  <si>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</si>
  <si>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</si>
  <si>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</si>
  <si>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</si>
  <si>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</si>
  <si>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</si>
  <si>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</si>
  <si>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</si>
  <si>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</si>
  <si>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</si>
  <si>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</si>
  <si>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</si>
  <si>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</si>
  <si>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</si>
  <si>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</si>
  <si>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</si>
  <si>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</si>
  <si>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</si>
  <si>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</si>
  <si>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</si>
  <si>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</si>
  <si>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</si>
  <si>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</si>
  <si>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</si>
  <si>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</si>
  <si>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</si>
  <si>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</si>
  <si>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</si>
  <si>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</si>
  <si>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</si>
  <si>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</si>
  <si>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</si>
  <si>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</si>
  <si>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</si>
  <si>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</si>
  <si>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</si>
  <si>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</si>
  <si>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</si>
  <si>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</si>
  <si>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</si>
  <si>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</si>
  <si>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</si>
  <si>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</si>
  <si>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</si>
  <si>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</si>
  <si>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</si>
  <si>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</si>
  <si>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</si>
  <si>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</si>
  <si>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</si>
  <si>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</si>
  <si>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</si>
  <si>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</si>
  <si>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</si>
  <si>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</si>
  <si>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</si>
  <si>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</si>
  <si>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</si>
  <si>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</si>
  <si>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</si>
  <si>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</si>
  <si>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</si>
  <si>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</si>
  <si>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</si>
  <si>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</si>
  <si>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</si>
  <si>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</si>
  <si>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</si>
  <si>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</si>
  <si>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</si>
  <si>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</si>
  <si>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</si>
  <si>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</si>
  <si>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</si>
  <si>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</si>
  <si>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</si>
  <si>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</si>
  <si>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</si>
  <si>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</si>
  <si>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</si>
  <si>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</si>
  <si>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</si>
  <si>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</si>
  <si>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</si>
  <si>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</si>
  <si>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</si>
  <si>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</si>
  <si>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</si>
  <si>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</si>
  <si>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</si>
  <si>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</si>
  <si>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</si>
  <si>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</si>
  <si>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</si>
  <si>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</si>
  <si>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</si>
  <si>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</si>
  <si>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</si>
  <si>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</si>
  <si>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</si>
  <si>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</si>
  <si>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</si>
  <si>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</si>
  <si>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</si>
  <si>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</si>
  <si>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</si>
  <si>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</si>
  <si>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</si>
  <si>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</si>
  <si>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</si>
  <si>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</si>
  <si>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</si>
  <si>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</si>
  <si>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</si>
  <si>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</si>
  <si>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</si>
  <si>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</si>
  <si>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</si>
  <si>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</si>
  <si>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</si>
  <si>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</si>
  <si>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</si>
  <si>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</si>
  <si>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</si>
  <si>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</si>
  <si>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</si>
  <si>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</si>
  <si>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</si>
  <si>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</si>
  <si>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</si>
  <si>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</si>
  <si>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</si>
  <si>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</si>
  <si>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</si>
  <si>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</si>
  <si>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</si>
  <si>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</si>
  <si>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</si>
  <si>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</si>
  <si>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</si>
  <si>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</si>
  <si>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</si>
  <si>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</si>
  <si>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</si>
  <si>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</si>
  <si>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</si>
  <si>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</si>
  <si>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</si>
  <si>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</si>
  <si>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</si>
  <si>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</si>
  <si>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</si>
  <si>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</si>
  <si>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</si>
  <si>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</si>
  <si>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</si>
  <si>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</si>
  <si>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</si>
  <si>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</si>
  <si>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</si>
  <si>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</si>
  <si>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</si>
  <si>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</si>
  <si>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</si>
  <si>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</si>
  <si>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</si>
  <si>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</si>
  <si>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</si>
  <si>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</si>
  <si>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</si>
  <si>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</si>
  <si>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</si>
  <si>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</si>
  <si>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</si>
  <si>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</si>
  <si>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</si>
  <si>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</si>
  <si>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</si>
  <si>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</si>
  <si>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</si>
  <si>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</si>
  <si>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</si>
  <si>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</si>
  <si>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</si>
  <si>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</si>
  <si>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</si>
  <si>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</si>
  <si>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</si>
  <si>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</si>
  <si>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</si>
  <si>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</si>
  <si>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</si>
  <si>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</si>
  <si>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</si>
  <si>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</si>
  <si>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</si>
  <si>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</si>
  <si>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</si>
  <si>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</si>
  <si>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</si>
  <si>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</si>
  <si>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</si>
  <si>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</si>
  <si>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</si>
  <si>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</si>
  <si>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</si>
  <si>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</si>
  <si>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</si>
  <si>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</si>
  <si>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</si>
  <si>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</si>
  <si>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</si>
  <si>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</si>
  <si>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</si>
  <si>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</si>
  <si>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</si>
  <si>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</si>
  <si>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</si>
  <si>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</si>
  <si>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</si>
  <si>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</si>
  <si>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</si>
  <si>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</si>
  <si>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</si>
  <si>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</si>
  <si>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</si>
  <si>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</si>
  <si>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</si>
  <si>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</si>
  <si>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</si>
  <si>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</si>
  <si>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</si>
  <si>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</si>
  <si>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</si>
  <si>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</si>
  <si>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</si>
  <si>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</si>
  <si>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</si>
  <si>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</si>
  <si>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</si>
  <si>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</si>
  <si>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</si>
  <si>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</si>
  <si>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</si>
  <si>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</si>
  <si>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</si>
  <si>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</si>
  <si>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</si>
  <si>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</si>
  <si>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</si>
  <si>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</si>
  <si>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</si>
  <si>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</si>
  <si>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</si>
  <si>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</si>
  <si>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</si>
  <si>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</si>
  <si>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</si>
  <si>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</si>
  <si>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</si>
  <si>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</si>
  <si>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</si>
  <si>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</si>
  <si>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</si>
  <si>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</si>
  <si>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</si>
  <si>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</si>
  <si>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</si>
  <si>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</si>
  <si>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</si>
  <si>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</si>
  <si>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</si>
  <si>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</si>
  <si>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</si>
  <si>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</si>
  <si>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</si>
  <si>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</si>
  <si>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</si>
  <si>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</si>
  <si>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</si>
  <si>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</si>
  <si>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</si>
  <si>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</si>
  <si>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</si>
  <si>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</si>
  <si>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</si>
  <si>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</si>
  <si>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</si>
  <si>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</si>
  <si>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</si>
  <si>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</si>
  <si>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</si>
  <si>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</si>
  <si>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</si>
  <si>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</si>
  <si>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</si>
  <si>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</si>
  <si>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</si>
  <si>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</si>
  <si>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</si>
  <si>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</si>
  <si>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</si>
  <si>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</si>
  <si>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</si>
  <si>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</si>
  <si>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</si>
  <si>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</si>
  <si>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</si>
  <si>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</si>
  <si>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</si>
  <si>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</si>
  <si>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</si>
  <si>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</si>
  <si>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</si>
  <si>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</si>
  <si>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</si>
  <si>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</si>
  <si>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</si>
  <si>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</si>
  <si>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</si>
  <si>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</si>
  <si>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</si>
  <si>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</si>
  <si>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</si>
  <si>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</si>
  <si>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</si>
  <si>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</si>
  <si>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</si>
  <si>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</si>
  <si>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</si>
  <si>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</si>
  <si>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</si>
  <si>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</si>
  <si>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</si>
  <si>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</si>
  <si>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</si>
  <si>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</si>
  <si>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</si>
  <si>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</si>
  <si>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</si>
  <si>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</si>
  <si>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</si>
  <si>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</si>
  <si>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</si>
  <si>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</si>
  <si>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</si>
  <si>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</si>
  <si>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</si>
  <si>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</si>
  <si>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</si>
  <si>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</si>
  <si>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</si>
  <si>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</si>
  <si>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</si>
  <si>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</si>
  <si>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</si>
  <si>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</si>
  <si>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</si>
  <si>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</si>
  <si>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</si>
  <si>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</si>
  <si>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</si>
  <si>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</si>
  <si>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</si>
  <si>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</si>
  <si>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</si>
  <si>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</si>
  <si>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</si>
  <si>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</si>
  <si>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</si>
  <si>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</si>
  <si>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</si>
  <si>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</si>
  <si>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</si>
  <si>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</si>
  <si>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</si>
  <si>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</si>
  <si>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</si>
  <si>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</si>
  <si>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</si>
  <si>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</si>
  <si>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</si>
  <si>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</si>
  <si>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</si>
  <si>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</si>
  <si>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</si>
  <si>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</si>
  <si>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</si>
  <si>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</si>
  <si>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</si>
  <si>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</si>
  <si>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</si>
  <si>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</si>
  <si>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</si>
  <si>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</si>
  <si>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</si>
  <si>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</si>
  <si>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</si>
  <si>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</si>
  <si>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</si>
  <si>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</si>
  <si>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</si>
  <si>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</si>
  <si>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</si>
  <si>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</si>
  <si>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</si>
  <si>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</si>
  <si>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</si>
  <si>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</si>
  <si>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</si>
  <si>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</si>
  <si>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</si>
  <si>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</si>
  <si>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</si>
  <si>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</si>
  <si>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</si>
  <si>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</si>
  <si>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</si>
  <si>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</si>
  <si>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</si>
  <si>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</si>
  <si>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</si>
  <si>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</si>
  <si>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</si>
  <si>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</si>
  <si>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</si>
  <si>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</si>
  <si>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</si>
  <si>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</si>
  <si>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</si>
  <si>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</si>
  <si>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</si>
  <si>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</si>
  <si>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</si>
  <si>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</si>
  <si>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</si>
  <si>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</si>
  <si>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</si>
  <si>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</si>
  <si>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</si>
  <si>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</si>
  <si>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</si>
  <si>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</si>
  <si>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</si>
  <si>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</si>
  <si>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</si>
  <si>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</si>
  <si>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</si>
  <si>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</si>
  <si>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</si>
  <si>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</si>
  <si>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</si>
  <si>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</si>
  <si>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</si>
  <si>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</si>
  <si>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</si>
  <si>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</si>
  <si>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</si>
  <si>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</si>
  <si>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</si>
  <si>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</si>
  <si>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</si>
  <si>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</si>
  <si>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</si>
  <si>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</si>
  <si>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</si>
  <si>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</si>
  <si>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</si>
  <si>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</si>
  <si>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</si>
  <si>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</si>
  <si>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</si>
  <si>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</si>
  <si>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</si>
  <si>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</si>
  <si>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</si>
  <si>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</si>
  <si>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</si>
  <si>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</si>
  <si>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</si>
  <si>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</si>
  <si>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</si>
  <si>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</si>
  <si>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</si>
  <si>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</si>
  <si>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</si>
  <si>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</si>
  <si>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</si>
  <si>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</si>
  <si>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</si>
  <si>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</si>
  <si>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</si>
  <si>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</si>
  <si>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</si>
  <si>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</si>
  <si>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</si>
  <si>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</si>
  <si>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</si>
  <si>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</si>
  <si>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</si>
  <si>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</si>
  <si>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</si>
  <si>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</si>
  <si>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</si>
  <si>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</si>
  <si>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</si>
  <si>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</si>
  <si>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</si>
  <si>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</si>
  <si>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</si>
  <si>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</si>
  <si>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</si>
  <si>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</si>
  <si>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</si>
  <si>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</si>
  <si>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</si>
  <si>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</si>
  <si>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</si>
  <si>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</si>
  <si>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</si>
  <si>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</si>
  <si>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</si>
  <si>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</si>
  <si>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</si>
  <si>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</si>
  <si>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</si>
  <si>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</si>
  <si>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</si>
  <si>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</si>
  <si>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</si>
  <si>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</si>
  <si>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</si>
  <si>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</si>
  <si>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</si>
  <si>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</si>
  <si>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</si>
  <si>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</si>
  <si>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</si>
  <si>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</si>
  <si>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</si>
  <si>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</si>
  <si>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</si>
  <si>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</si>
  <si>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</si>
  <si>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</si>
  <si>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</si>
  <si>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</si>
  <si>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</si>
  <si>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</si>
  <si>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</si>
  <si>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</si>
  <si>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</si>
  <si>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</si>
  <si>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</si>
  <si>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</si>
  <si>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</si>
  <si>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</si>
  <si>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</si>
  <si>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</si>
  <si>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</si>
  <si>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</si>
  <si>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</si>
  <si>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</si>
  <si>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</si>
  <si>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</si>
  <si>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</si>
  <si>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</si>
  <si>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</si>
  <si>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</si>
  <si>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</si>
  <si>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</si>
  <si>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</si>
  <si>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</si>
  <si>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</si>
  <si>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</si>
  <si>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</si>
  <si>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</si>
  <si>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</si>
  <si>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</si>
  <si>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</si>
  <si>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</si>
  <si>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</si>
  <si>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</si>
  <si>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</si>
  <si>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</si>
  <si>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</si>
  <si>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</si>
  <si>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</si>
  <si>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</si>
  <si>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</si>
  <si>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</si>
  <si>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</si>
  <si>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</si>
  <si>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</si>
  <si>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</si>
  <si>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</si>
  <si>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</si>
  <si>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</si>
  <si>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</si>
  <si>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</si>
  <si>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</si>
  <si>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</si>
  <si>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</si>
  <si>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</si>
  <si>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</si>
  <si>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</si>
  <si>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</si>
  <si>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</si>
  <si>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</si>
  <si>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</si>
  <si>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</si>
  <si>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</si>
  <si>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</si>
  <si>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</si>
  <si>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</si>
  <si>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</si>
  <si>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</si>
  <si>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</si>
  <si>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</si>
  <si>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</si>
  <si>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</si>
  <si>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</si>
  <si>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</si>
  <si>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</si>
  <si>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</si>
  <si>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</si>
  <si>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</si>
  <si>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</si>
  <si>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</si>
  <si>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</si>
  <si>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</si>
  <si>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</si>
  <si>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</si>
  <si>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</si>
  <si>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</si>
  <si>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</si>
  <si>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</si>
  <si>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</si>
  <si>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</si>
  <si>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</si>
  <si>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</si>
  <si>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</si>
  <si>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</si>
  <si>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</si>
  <si>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</si>
  <si>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</si>
  <si>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</si>
  <si>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</si>
  <si>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</si>
  <si>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</si>
  <si>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</si>
  <si>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</si>
  <si>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</si>
  <si>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</si>
  <si>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</si>
  <si>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</si>
  <si>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</si>
  <si>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</si>
  <si>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</si>
  <si>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</si>
  <si>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</si>
  <si>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</si>
  <si>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</si>
  <si>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</si>
  <si>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</si>
  <si>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</si>
  <si>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</si>
  <si>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</si>
  <si>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</si>
  <si>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</si>
  <si>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</si>
  <si>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</si>
  <si>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</si>
  <si>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</si>
  <si>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</si>
  <si>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</si>
  <si>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</si>
  <si>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</si>
  <si>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</si>
  <si>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</si>
  <si>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</si>
  <si>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</si>
  <si>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</si>
  <si>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</si>
  <si>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</si>
  <si>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</si>
  <si>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</si>
  <si>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</si>
  <si>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</si>
  <si>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</si>
  <si>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</si>
  <si>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</si>
  <si>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</si>
  <si>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</si>
  <si>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</si>
  <si>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</si>
  <si>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</si>
  <si>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</si>
  <si>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</si>
  <si>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</si>
  <si>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</si>
  <si>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</si>
  <si>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</si>
  <si>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</si>
  <si>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</si>
  <si>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</si>
  <si>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</si>
  <si>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</si>
  <si>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</si>
  <si>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</si>
  <si>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</si>
  <si>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</si>
  <si>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</si>
  <si>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</si>
  <si>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</si>
  <si>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</si>
  <si>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</si>
  <si>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</si>
  <si>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</si>
  <si>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</si>
  <si>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</si>
  <si>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</si>
  <si>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</si>
  <si>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</si>
  <si>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</si>
  <si>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</si>
  <si>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</si>
  <si>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</si>
  <si>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</si>
  <si>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</si>
  <si>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</si>
  <si>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</si>
  <si>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</si>
  <si>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</si>
  <si>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</si>
  <si>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</si>
  <si>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</si>
  <si>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</si>
  <si>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</si>
  <si>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</si>
  <si>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</si>
  <si>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</si>
  <si>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</si>
  <si>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</si>
  <si>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</si>
  <si>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</si>
  <si>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</si>
  <si>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</si>
  <si>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</si>
  <si>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</si>
  <si>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</si>
  <si>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</si>
  <si>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</si>
  <si>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</si>
  <si>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</si>
  <si>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</si>
  <si>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</si>
  <si>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</si>
  <si>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</si>
  <si>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</si>
  <si>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</si>
  <si>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</si>
  <si>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</si>
  <si>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</si>
  <si>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</si>
  <si>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</si>
  <si>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</si>
  <si>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</si>
  <si>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</si>
  <si>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</si>
  <si>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</si>
  <si>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</si>
  <si>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</si>
  <si>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</si>
  <si>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</si>
  <si>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</si>
  <si>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</si>
  <si>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</si>
  <si>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</si>
  <si>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</si>
  <si>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</si>
  <si>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</si>
  <si>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</si>
  <si>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</si>
  <si>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</si>
  <si>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</si>
  <si>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</si>
  <si>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</si>
  <si>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</si>
  <si>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</si>
  <si>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</si>
  <si>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</si>
  <si>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</si>
  <si>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</si>
  <si>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</si>
  <si>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</si>
  <si>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</si>
  <si>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</si>
  <si>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</si>
  <si>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</si>
  <si>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</si>
  <si>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</si>
  <si>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</si>
  <si>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</si>
  <si>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</si>
  <si>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</si>
  <si>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</si>
  <si>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</si>
  <si>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</si>
  <si>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</si>
  <si>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</si>
  <si>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</si>
  <si>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</si>
  <si>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</si>
  <si>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</si>
  <si>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</si>
  <si>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</si>
  <si>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</si>
  <si>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</si>
  <si>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</si>
  <si>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</si>
  <si>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</si>
  <si>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</si>
  <si>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</si>
  <si>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</si>
  <si>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</si>
  <si>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</si>
  <si>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</si>
  <si>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</si>
  <si>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</si>
  <si>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</si>
  <si>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</si>
  <si>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</si>
  <si>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</si>
  <si>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</si>
  <si>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</si>
  <si>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</si>
  <si>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</si>
  <si>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</si>
  <si>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</si>
  <si>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</si>
  <si>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</si>
  <si>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</si>
  <si>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</si>
  <si>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</si>
  <si>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</si>
  <si>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</si>
  <si>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</si>
  <si>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</si>
  <si>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</si>
  <si>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</si>
  <si>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</si>
  <si>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</si>
  <si>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</si>
  <si>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</si>
  <si>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</si>
  <si>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</si>
  <si>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</si>
  <si>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</si>
  <si>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</si>
  <si>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</si>
  <si>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</si>
  <si>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</si>
  <si>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</si>
  <si>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</si>
  <si>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</si>
  <si>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</si>
  <si>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</si>
  <si>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</si>
  <si>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</si>
  <si>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</si>
  <si>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</si>
  <si>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</si>
  <si>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</si>
  <si>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</si>
  <si>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</si>
  <si>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</si>
  <si>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</si>
  <si>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</si>
  <si>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</si>
  <si>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</si>
  <si>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</si>
  <si>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</si>
  <si>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</si>
  <si>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</si>
  <si>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</si>
  <si>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</si>
  <si>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</si>
  <si>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</si>
  <si>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</si>
  <si>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</si>
  <si>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</si>
  <si>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</si>
  <si>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</si>
  <si>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</si>
  <si>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</si>
  <si>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</si>
  <si>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</si>
  <si>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</si>
  <si>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</si>
  <si>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</si>
  <si>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</si>
  <si>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</si>
  <si>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</si>
  <si>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</si>
  <si>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</si>
  <si>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</si>
  <si>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</si>
  <si>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</si>
  <si>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</si>
  <si>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</si>
  <si>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</si>
  <si>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</si>
  <si>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</si>
  <si>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</si>
  <si>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</si>
  <si>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</si>
  <si>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</si>
  <si>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</si>
  <si>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</si>
  <si>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</si>
  <si>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</si>
  <si>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</si>
  <si>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</si>
  <si>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</si>
  <si>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</si>
  <si>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</si>
  <si>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</si>
  <si>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</si>
  <si>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</si>
  <si>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</si>
  <si>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</si>
  <si>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</si>
  <si>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</si>
  <si>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</si>
  <si>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</si>
  <si>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</si>
  <si>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</si>
  <si>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</si>
  <si>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</si>
  <si>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</si>
  <si>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</si>
  <si>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</si>
  <si>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</si>
  <si>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</si>
  <si>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</si>
  <si>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</si>
  <si>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</si>
  <si>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</si>
  <si>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</si>
  <si>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</si>
  <si>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</si>
  <si>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</si>
  <si>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</si>
  <si>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</si>
  <si>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</si>
  <si>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</si>
  <si>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</si>
  <si>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</si>
  <si>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</si>
  <si>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</si>
  <si>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</si>
  <si>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</si>
  <si>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</si>
  <si>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</si>
  <si>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</si>
  <si>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</si>
  <si>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</si>
  <si>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</si>
  <si>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</si>
  <si>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</si>
  <si>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</si>
  <si>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</si>
  <si>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</si>
  <si>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</si>
  <si>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</si>
  <si>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</si>
  <si>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</si>
  <si>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</si>
  <si>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</si>
  <si>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</si>
  <si>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</si>
  <si>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</si>
  <si>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</si>
  <si>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</si>
  <si>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</si>
  <si>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</si>
  <si>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</si>
  <si>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</si>
  <si>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</si>
  <si>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</si>
  <si>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</si>
  <si>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</si>
  <si>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</si>
  <si>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</si>
  <si>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</si>
  <si>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</si>
  <si>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</si>
  <si>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</si>
  <si>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</si>
  <si>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</si>
  <si>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</si>
  <si>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</si>
  <si>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</si>
  <si>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</si>
  <si>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</si>
  <si>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</si>
  <si>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</si>
  <si>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</si>
  <si>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</si>
  <si>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</si>
  <si>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</si>
  <si>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</si>
  <si>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</si>
  <si>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</si>
  <si>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</si>
  <si>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</si>
  <si>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</si>
  <si>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</si>
  <si>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</si>
  <si>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</si>
  <si>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</si>
  <si>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</si>
  <si>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</si>
  <si>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</si>
  <si>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</si>
  <si>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</si>
  <si>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</si>
  <si>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</si>
  <si>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</si>
  <si>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</si>
  <si>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</si>
  <si>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</si>
  <si>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</si>
  <si>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</si>
  <si>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</si>
  <si>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</si>
  <si>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</si>
  <si>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</si>
  <si>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</si>
  <si>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</si>
  <si>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</si>
  <si>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</si>
  <si>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</si>
  <si>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</si>
  <si>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</si>
  <si>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</si>
  <si>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</si>
  <si>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</si>
  <si>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</si>
  <si>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</si>
  <si>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</si>
  <si>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</si>
  <si>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</si>
  <si>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</si>
  <si>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</si>
  <si>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</si>
  <si>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</si>
  <si>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</si>
  <si>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</si>
  <si>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</si>
  <si>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</si>
  <si>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</si>
  <si>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</si>
  <si>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</si>
  <si>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</si>
  <si>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</si>
  <si>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</si>
  <si>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</si>
  <si>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</si>
  <si>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</si>
  <si>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</si>
  <si>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</si>
  <si>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</si>
  <si>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</si>
  <si>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</si>
  <si>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</si>
  <si>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</si>
  <si>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</si>
  <si>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</si>
  <si>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</si>
  <si>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</si>
  <si>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</si>
  <si>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</si>
  <si>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</si>
  <si>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</si>
  <si>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</si>
  <si>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</si>
  <si>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</si>
  <si>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</si>
  <si>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</si>
  <si>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</si>
  <si>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</si>
  <si>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</si>
  <si>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</si>
  <si>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</si>
  <si>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</si>
  <si>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</si>
  <si>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</si>
  <si>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</si>
  <si>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</si>
  <si>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</si>
  <si>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</si>
  <si>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</si>
  <si>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</si>
  <si>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</si>
  <si>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</si>
  <si>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</si>
  <si>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</si>
  <si>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</si>
  <si>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</si>
  <si>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</si>
  <si>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</si>
  <si>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</si>
  <si>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</si>
  <si>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</si>
  <si>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</si>
  <si>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</si>
  <si>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</si>
  <si>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</si>
  <si>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</si>
  <si>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</si>
  <si>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</si>
  <si>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</si>
  <si>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</si>
  <si>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</si>
  <si>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</si>
  <si>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</si>
  <si>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</si>
  <si>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</si>
  <si>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</si>
  <si>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</si>
  <si>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</si>
  <si>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</si>
  <si>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</si>
  <si>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</si>
  <si>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</si>
  <si>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</si>
  <si>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</si>
  <si>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</si>
  <si>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</si>
  <si>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</si>
  <si>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</si>
  <si>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</si>
  <si>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</si>
  <si>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</si>
  <si>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</si>
  <si>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</si>
  <si>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</si>
  <si>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</si>
  <si>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</si>
  <si>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</si>
  <si>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</si>
  <si>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</si>
  <si>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</si>
  <si>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</si>
  <si>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</si>
  <si>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</si>
  <si>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</si>
  <si>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</si>
  <si>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</si>
  <si>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</si>
  <si>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</si>
  <si>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</si>
  <si>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</si>
  <si>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</si>
  <si>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</si>
  <si>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</si>
  <si>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</si>
  <si>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</si>
  <si>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</si>
  <si>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</si>
  <si>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</si>
  <si>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</si>
  <si>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</si>
  <si>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</si>
  <si>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</si>
  <si>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</si>
  <si>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</si>
  <si>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</si>
  <si>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</si>
  <si>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</si>
  <si>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</si>
  <si>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</si>
  <si>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</si>
  <si>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</si>
  <si>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</si>
  <si>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</si>
  <si>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</si>
  <si>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</si>
  <si>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</si>
  <si>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</si>
  <si>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</si>
  <si>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</si>
  <si>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</si>
  <si>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</si>
  <si>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</si>
  <si>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</si>
  <si>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</si>
  <si>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</si>
  <si>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</si>
  <si>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</si>
  <si>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</si>
  <si>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</si>
  <si>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</si>
  <si>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</si>
  <si>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</si>
  <si>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</si>
  <si>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</si>
  <si>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</si>
  <si>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</si>
  <si>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</si>
  <si>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</si>
  <si>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</si>
  <si>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</si>
  <si>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</si>
  <si>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</si>
  <si>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</si>
  <si>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</si>
  <si>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</si>
  <si>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</si>
  <si>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</si>
  <si>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</si>
  <si>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</si>
  <si>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</si>
  <si>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</si>
  <si>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</si>
  <si>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</si>
  <si>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</si>
  <si>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</si>
  <si>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</si>
  <si>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</si>
  <si>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</si>
  <si>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</si>
  <si>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</si>
  <si>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</si>
  <si>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</si>
  <si>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</si>
  <si>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</si>
  <si>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</si>
  <si>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</si>
  <si>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</si>
  <si>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</si>
  <si>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</si>
  <si>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</si>
  <si>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</si>
  <si>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</si>
  <si>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</si>
  <si>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</si>
  <si>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</si>
  <si>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</si>
  <si>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</si>
  <si>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</si>
  <si>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</si>
  <si>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</si>
  <si>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</si>
  <si>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</si>
  <si>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</si>
  <si>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</si>
  <si>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</si>
  <si>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</si>
  <si>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</si>
  <si>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</si>
  <si>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</si>
  <si>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</si>
  <si>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</si>
  <si>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</si>
  <si>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</si>
  <si>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</si>
  <si>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</si>
  <si>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</si>
  <si>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</si>
  <si>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</si>
  <si>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</si>
  <si>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</si>
  <si>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</si>
  <si>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</si>
  <si>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</si>
  <si>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</si>
  <si>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</si>
  <si>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</si>
  <si>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</si>
  <si>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</si>
  <si>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</si>
  <si>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</si>
  <si>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</si>
  <si>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</si>
  <si>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</si>
  <si>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</si>
  <si>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</si>
  <si>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</si>
  <si>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</si>
  <si>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</si>
  <si>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</si>
  <si>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</si>
  <si>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</si>
  <si>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</si>
  <si>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</si>
  <si>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</si>
  <si>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</si>
  <si>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</si>
  <si>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</si>
  <si>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</si>
  <si>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</si>
  <si>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</si>
  <si>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</si>
  <si>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</si>
  <si>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</si>
  <si>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</si>
  <si>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</si>
  <si>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</si>
  <si>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</si>
  <si>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</si>
  <si>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</si>
  <si>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</si>
  <si>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</si>
  <si>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</si>
  <si>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</si>
  <si>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</si>
  <si>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</si>
  <si>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</si>
  <si>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</si>
  <si>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</si>
  <si>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</si>
  <si>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</si>
  <si>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</si>
  <si>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</si>
  <si>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</si>
  <si>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</si>
  <si>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</si>
  <si>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</si>
  <si>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</si>
  <si>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</si>
  <si>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</si>
  <si>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</si>
  <si>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</si>
  <si>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</si>
  <si>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</si>
  <si>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</si>
  <si>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</si>
  <si>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</si>
  <si>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</si>
  <si>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</si>
  <si>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</si>
  <si>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</si>
  <si>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</si>
  <si>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</si>
  <si>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</si>
  <si>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</si>
  <si>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</si>
  <si>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</si>
  <si>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</si>
  <si>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</si>
  <si>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</si>
  <si>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</si>
  <si>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</si>
  <si>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</si>
  <si>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</si>
  <si>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</si>
  <si>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</si>
  <si>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</si>
  <si>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</si>
  <si>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</si>
  <si>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</si>
  <si>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</si>
  <si>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</si>
  <si>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</si>
  <si>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</si>
  <si>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</si>
  <si>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</si>
  <si>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</si>
  <si>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</si>
  <si>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</si>
  <si>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</si>
  <si>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</si>
  <si>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</si>
  <si>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</si>
  <si>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</si>
  <si>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</si>
  <si>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</si>
  <si>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</si>
  <si>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</si>
  <si>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</si>
  <si>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</si>
  <si>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</si>
  <si>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</si>
  <si>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</si>
  <si>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</si>
  <si>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</si>
  <si>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</si>
  <si>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</si>
  <si>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</si>
  <si>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</si>
  <si>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</si>
  <si>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</si>
  <si>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</si>
  <si>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</si>
  <si>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</si>
  <si>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</si>
  <si>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</si>
  <si>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</si>
  <si>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</si>
  <si>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</si>
  <si>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</si>
  <si>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</si>
  <si>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</si>
  <si>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</si>
  <si>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</si>
  <si>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</si>
  <si>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</si>
  <si>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</si>
  <si>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</si>
  <si>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</si>
  <si>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</si>
  <si>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</si>
  <si>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</si>
  <si>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</si>
  <si>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</si>
  <si>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</si>
  <si>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</si>
  <si>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</si>
  <si>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</si>
  <si>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</si>
  <si>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</si>
  <si>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</si>
  <si>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</si>
  <si>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</si>
  <si>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</si>
  <si>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</si>
  <si>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</si>
  <si>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</si>
  <si>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</si>
  <si>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</si>
  <si>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</si>
  <si>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</si>
  <si>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</si>
  <si>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</si>
  <si>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</si>
  <si>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</si>
  <si>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</si>
  <si>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</si>
  <si>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</si>
  <si>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</si>
  <si>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</si>
  <si>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</si>
  <si>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</si>
  <si>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</si>
  <si>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</si>
  <si>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</si>
  <si>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</si>
  <si>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</si>
  <si>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</si>
  <si>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</si>
  <si>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</si>
  <si>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</si>
  <si>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</si>
  <si>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</si>
  <si>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</si>
  <si>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</si>
  <si>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</si>
  <si>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</si>
  <si>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</si>
  <si>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</si>
  <si>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</si>
  <si>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</si>
  <si>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</si>
  <si>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</si>
  <si>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</si>
  <si>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</si>
  <si>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</si>
  <si>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</si>
  <si>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</si>
  <si>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</si>
  <si>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</si>
  <si>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</si>
  <si>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</si>
  <si>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</si>
  <si>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</si>
  <si>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</si>
  <si>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</si>
  <si>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</si>
  <si>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</si>
  <si>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</si>
  <si>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</si>
  <si>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</si>
  <si>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</si>
  <si>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</si>
  <si>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</si>
  <si>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</si>
  <si>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</si>
  <si>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</si>
  <si>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</si>
  <si>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</si>
  <si>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</si>
  <si>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</si>
  <si>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</si>
  <si>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</si>
  <si>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</si>
  <si>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</si>
  <si>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</si>
  <si>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</si>
  <si>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</si>
  <si>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</si>
  <si>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</si>
  <si>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</si>
  <si>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</si>
  <si>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</si>
  <si>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</si>
  <si>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</si>
  <si>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</si>
  <si>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</si>
  <si>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</si>
  <si>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</si>
  <si>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</si>
  <si>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</si>
  <si>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</si>
  <si>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</si>
  <si>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</si>
  <si>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</si>
  <si>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</si>
  <si>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</si>
  <si>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</si>
  <si>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</si>
  <si>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</si>
  <si>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</si>
  <si>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</si>
  <si>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</si>
  <si>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</si>
  <si>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</si>
  <si>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</si>
  <si>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</si>
  <si>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</si>
  <si>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</si>
  <si>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</si>
  <si>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</si>
  <si>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</si>
  <si>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</si>
  <si>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</si>
  <si>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</si>
  <si>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</si>
  <si>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</si>
  <si>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</si>
  <si>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</si>
  <si>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</si>
  <si>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</si>
  <si>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</si>
  <si>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</si>
  <si>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</si>
  <si>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</si>
  <si>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</si>
  <si>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</si>
  <si>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</si>
  <si>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</si>
  <si>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</si>
  <si>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</si>
  <si>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</si>
  <si>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</si>
  <si>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</si>
  <si>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</si>
  <si>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</si>
  <si>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</si>
  <si>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</si>
  <si>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</si>
  <si>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</si>
  <si>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</si>
  <si>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</si>
  <si>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</si>
  <si>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</si>
  <si>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</si>
  <si>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</si>
  <si>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</si>
  <si>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</si>
  <si>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</si>
  <si>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</si>
  <si>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</si>
  <si>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</si>
  <si>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</si>
  <si>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</si>
  <si>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</si>
  <si>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</si>
  <si>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</si>
  <si>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</si>
  <si>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</si>
  <si>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</si>
  <si>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</si>
  <si>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</si>
  <si>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</si>
  <si>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</si>
  <si>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</si>
  <si>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</si>
  <si>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</si>
  <si>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</si>
  <si>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</si>
  <si>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</si>
  <si>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</si>
  <si>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</si>
  <si>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</si>
  <si>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</si>
  <si>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</si>
  <si>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</si>
  <si>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</si>
  <si>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</si>
  <si>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</si>
  <si>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</si>
  <si>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</si>
  <si>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</si>
  <si>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</si>
  <si>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</si>
  <si>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</si>
  <si>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</si>
  <si>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</si>
  <si>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</si>
  <si>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</si>
  <si>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</si>
  <si>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</si>
  <si>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</si>
  <si>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</si>
  <si>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</si>
  <si>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</si>
  <si>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</si>
  <si>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</si>
  <si>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</si>
  <si>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</si>
  <si>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</si>
  <si>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</si>
  <si>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</si>
  <si>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</si>
  <si>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</si>
  <si>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</si>
  <si>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</si>
  <si>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</si>
  <si>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</si>
  <si>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</si>
  <si>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</si>
  <si>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</si>
  <si>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</si>
  <si>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</si>
  <si>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</si>
  <si>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</si>
  <si>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</si>
  <si>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</si>
  <si>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</si>
  <si>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</si>
  <si>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</si>
  <si>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</si>
  <si>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</si>
  <si>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</si>
  <si>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</si>
  <si>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</si>
  <si>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</si>
  <si>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</si>
  <si>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</si>
  <si>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</si>
  <si>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</si>
  <si>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</si>
  <si>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</si>
  <si>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</si>
  <si>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</si>
  <si>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</si>
  <si>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</si>
  <si>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</si>
  <si>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</si>
  <si>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</si>
  <si>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</si>
  <si>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</si>
  <si>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</si>
  <si>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</si>
  <si>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</si>
  <si>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</si>
  <si>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</si>
  <si>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</si>
  <si>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</si>
  <si>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</si>
  <si>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</si>
  <si>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</si>
  <si>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</si>
  <si>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</si>
  <si>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</si>
  <si>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</si>
  <si>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</si>
  <si>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</si>
  <si>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</si>
  <si>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</si>
  <si>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</si>
  <si>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</si>
  <si>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</si>
  <si>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</si>
  <si>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</si>
  <si>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</si>
  <si>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</si>
  <si>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</si>
  <si>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</si>
  <si>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</si>
  <si>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</si>
  <si>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</si>
  <si>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</si>
  <si>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</si>
  <si>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</si>
  <si>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</si>
  <si>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</si>
  <si>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</si>
  <si>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</si>
  <si>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</si>
  <si>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</si>
  <si>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</si>
  <si>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</si>
  <si>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</si>
  <si>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</si>
  <si>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</si>
  <si>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</si>
  <si>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</si>
  <si>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</si>
  <si>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</si>
  <si>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</si>
  <si>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</si>
  <si>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</si>
  <si>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</si>
  <si>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</si>
  <si>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</si>
  <si>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</si>
  <si>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</si>
  <si>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</si>
  <si>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</si>
  <si>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</si>
  <si>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</si>
  <si>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</si>
  <si>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</si>
  <si>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</si>
  <si>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</si>
  <si>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</si>
  <si>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</si>
  <si>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</si>
  <si>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</si>
  <si>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</si>
  <si>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</si>
  <si>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</si>
  <si>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</si>
  <si>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</si>
  <si>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</si>
  <si>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</si>
  <si>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</si>
  <si>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</si>
  <si>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</si>
  <si>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</si>
  <si>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</si>
  <si>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</si>
  <si>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</si>
  <si>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</si>
  <si>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</si>
  <si>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</si>
  <si>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</si>
  <si>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</si>
  <si>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</si>
  <si>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</si>
  <si>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</si>
  <si>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</si>
  <si>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</si>
  <si>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</si>
  <si>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</si>
  <si>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</si>
  <si>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</si>
  <si>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</si>
  <si>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</si>
  <si>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</si>
  <si>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</si>
  <si>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</si>
  <si>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</si>
  <si>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</si>
  <si>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</si>
  <si>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</si>
  <si>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</si>
  <si>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</si>
  <si>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</si>
  <si>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</si>
  <si>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</si>
  <si>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</si>
  <si>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</si>
  <si>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</si>
  <si>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</si>
  <si>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</si>
  <si>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</si>
  <si>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</si>
  <si>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</si>
  <si>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</si>
  <si>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</si>
  <si>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</si>
  <si>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</si>
  <si>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</si>
  <si>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</si>
  <si>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</si>
  <si>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</si>
  <si>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</si>
  <si>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</si>
  <si>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</si>
  <si>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</si>
  <si>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</si>
  <si>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</si>
  <si>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</si>
  <si>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</si>
  <si>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</si>
  <si>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</si>
  <si>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</si>
  <si>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</si>
  <si>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</si>
  <si>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</si>
  <si>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</si>
  <si>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</si>
  <si>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</si>
  <si>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</si>
  <si>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</si>
  <si>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</si>
  <si>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</si>
  <si>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</si>
  <si>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</si>
  <si>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</si>
  <si>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</si>
  <si>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</si>
  <si>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</si>
  <si>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</si>
  <si>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</si>
  <si>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</si>
  <si>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</si>
  <si>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</si>
  <si>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</si>
  <si>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</si>
  <si>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</si>
  <si>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</si>
  <si>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</si>
  <si>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</si>
  <si>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</si>
  <si>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</si>
  <si>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</si>
  <si>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</si>
  <si>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</si>
  <si>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</si>
  <si>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</si>
  <si>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</si>
  <si>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</si>
  <si>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</si>
  <si>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</si>
  <si>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</si>
  <si>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</si>
  <si>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</si>
  <si>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</si>
  <si>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</si>
  <si>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</si>
  <si>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</si>
  <si>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</si>
  <si>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</si>
  <si>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</si>
  <si>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</si>
  <si>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</si>
  <si>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</si>
  <si>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</si>
  <si>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</si>
  <si>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</si>
  <si>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</si>
  <si>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</si>
  <si>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</si>
  <si>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</si>
  <si>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</si>
  <si>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</si>
  <si>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</si>
  <si>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</si>
  <si>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</si>
  <si>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</si>
  <si>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</si>
  <si>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</si>
  <si>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</si>
  <si>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</si>
  <si>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</si>
  <si>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</si>
  <si>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</si>
  <si>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</si>
  <si>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</si>
  <si>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</si>
  <si>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</si>
  <si>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</si>
  <si>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</si>
  <si>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</si>
  <si>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</si>
  <si>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</si>
  <si>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</si>
  <si>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</si>
  <si>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</si>
  <si>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</si>
  <si>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</si>
  <si>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</si>
  <si>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</si>
  <si>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</si>
  <si>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</si>
  <si>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</si>
  <si>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</si>
  <si>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</si>
  <si>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</si>
  <si>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</si>
  <si>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</si>
  <si>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</si>
  <si>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</si>
  <si>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</si>
  <si>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</si>
  <si>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</si>
  <si>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</si>
  <si>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</si>
  <si>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</si>
  <si>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</si>
  <si>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</si>
  <si>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</si>
  <si>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</si>
  <si>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</si>
  <si>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</si>
  <si>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</si>
  <si>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</si>
  <si>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</si>
  <si>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</si>
  <si>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</si>
  <si>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</si>
  <si>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</si>
  <si>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</si>
  <si>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</si>
  <si>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</si>
  <si>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</si>
  <si>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</si>
  <si>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</si>
  <si>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</si>
  <si>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</si>
  <si>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</si>
  <si>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</si>
  <si>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</si>
  <si>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</si>
  <si>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</si>
  <si>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</si>
  <si>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</si>
  <si>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</si>
  <si>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</si>
  <si>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</si>
  <si>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</si>
  <si>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</si>
  <si>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</si>
  <si>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</si>
  <si>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</si>
  <si>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</si>
  <si>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</si>
  <si>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</si>
  <si>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</si>
  <si>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</si>
  <si>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</si>
  <si>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</si>
  <si>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</si>
  <si>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</si>
  <si>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</si>
  <si>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</si>
  <si>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</si>
  <si>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</si>
  <si>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</si>
  <si>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</si>
  <si>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</si>
  <si>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</si>
  <si>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</si>
  <si>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</si>
  <si>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</si>
  <si>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</si>
  <si>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</si>
  <si>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</si>
  <si>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</si>
  <si>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</si>
  <si>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</si>
  <si>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</si>
  <si>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</si>
  <si>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</si>
  <si>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</si>
  <si>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</si>
  <si>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</si>
  <si>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</si>
  <si>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</si>
  <si>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</si>
  <si>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</si>
  <si>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</si>
  <si>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</si>
  <si>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</si>
  <si>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</si>
  <si>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</si>
  <si>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</si>
  <si>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</si>
  <si>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</si>
  <si>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</si>
  <si>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</si>
  <si>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</si>
  <si>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</si>
  <si>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</si>
  <si>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</si>
  <si>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</si>
  <si>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</si>
  <si>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</si>
  <si>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</si>
  <si>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</si>
  <si>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</si>
  <si>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</si>
  <si>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</si>
  <si>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</si>
  <si>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</si>
  <si>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</si>
  <si>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</si>
  <si>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</si>
  <si>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</si>
  <si>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</si>
  <si>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</si>
  <si>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</si>
  <si>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</si>
  <si>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</si>
  <si>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</si>
  <si>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</si>
  <si>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</si>
  <si>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</si>
  <si>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</si>
  <si>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</si>
  <si>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</si>
  <si>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</si>
  <si>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</si>
  <si>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</si>
  <si>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</si>
  <si>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</si>
  <si>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</si>
  <si>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</si>
  <si>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</si>
  <si>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</si>
  <si>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</si>
  <si>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</si>
  <si>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</si>
  <si>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</si>
  <si>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</si>
  <si>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</si>
  <si>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</si>
  <si>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</si>
  <si>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</si>
  <si>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</si>
  <si>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</si>
  <si>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</si>
  <si>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</si>
  <si>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</si>
  <si>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</si>
  <si>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</si>
  <si>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</si>
  <si>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</si>
  <si>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</si>
  <si>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</si>
  <si>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</si>
  <si>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</si>
  <si>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</si>
  <si>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</si>
  <si>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</si>
  <si>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</si>
  <si>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</si>
  <si>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</si>
  <si>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</si>
  <si>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</si>
  <si>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</si>
  <si>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</si>
  <si>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</si>
  <si>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</si>
  <si>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</si>
  <si>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</si>
  <si>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</si>
  <si>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</si>
  <si>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</si>
  <si>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</si>
  <si>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</si>
  <si>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</si>
  <si>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</si>
  <si>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</si>
  <si>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</si>
  <si>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</si>
  <si>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</si>
  <si>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</si>
  <si>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</si>
  <si>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</si>
  <si>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</si>
  <si>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</si>
  <si>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</si>
  <si>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</si>
  <si>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</si>
  <si>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</si>
  <si>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</si>
  <si>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</si>
  <si>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</si>
  <si>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</si>
  <si>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</si>
  <si>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</si>
  <si>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</si>
  <si>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</si>
  <si>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</si>
  <si>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</si>
  <si>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</si>
  <si>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</si>
  <si>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</si>
  <si>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</si>
  <si>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</si>
  <si>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</si>
  <si>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</si>
  <si>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</si>
  <si>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</si>
  <si>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</si>
  <si>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</si>
  <si>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</si>
  <si>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</si>
  <si>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</si>
  <si>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</si>
  <si>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</si>
  <si>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</si>
  <si>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</si>
  <si>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</si>
  <si>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</si>
  <si>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</si>
  <si>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</si>
  <si>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</si>
  <si>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</si>
  <si>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</si>
  <si>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</si>
  <si>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</si>
  <si>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</si>
  <si>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</si>
  <si>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</si>
  <si>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</si>
  <si>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</si>
  <si>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</si>
  <si>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</si>
  <si>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</si>
  <si>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</si>
  <si>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</si>
  <si>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</si>
  <si>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</si>
  <si>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</si>
  <si>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</si>
  <si>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</si>
  <si>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</si>
  <si>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</si>
  <si>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</si>
  <si>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</si>
  <si>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</si>
  <si>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</si>
  <si>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</si>
  <si>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</si>
  <si>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</si>
  <si>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</si>
  <si>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</si>
  <si>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</si>
  <si>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</si>
  <si>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</si>
  <si>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</si>
  <si>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</si>
  <si>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</si>
  <si>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</si>
  <si>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</si>
  <si>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</si>
  <si>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</si>
  <si>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</si>
  <si>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</si>
  <si>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</si>
  <si>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</si>
  <si>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</si>
  <si>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</si>
  <si>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</si>
  <si>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</si>
  <si>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</si>
  <si>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</si>
  <si>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</si>
  <si>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</si>
  <si>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</si>
  <si>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</si>
  <si>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</si>
  <si>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</si>
  <si>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</si>
  <si>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</si>
  <si>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</si>
  <si>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</si>
  <si>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</si>
  <si>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</si>
  <si>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</si>
  <si>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</si>
  <si>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</si>
  <si>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</si>
  <si>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</si>
  <si>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</si>
  <si>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</si>
  <si>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</si>
  <si>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</si>
  <si>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</si>
  <si>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</si>
  <si>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</si>
  <si>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</si>
  <si>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</si>
  <si>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</si>
  <si>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</si>
  <si>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</si>
  <si>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</si>
  <si>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</si>
  <si>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</si>
  <si>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</si>
  <si>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</si>
  <si>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</si>
  <si>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</si>
  <si>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</si>
  <si>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</si>
  <si>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</si>
  <si>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</si>
  <si>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</si>
  <si>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</si>
  <si>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</si>
  <si>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</si>
  <si>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</si>
  <si>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</si>
  <si>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</si>
  <si>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</si>
  <si>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</si>
  <si>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</si>
  <si>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</si>
  <si>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</si>
  <si>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</si>
  <si>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</si>
  <si>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</si>
  <si>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</si>
  <si>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</si>
  <si>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</si>
  <si>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</si>
  <si>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</si>
  <si>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</si>
  <si>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</si>
  <si>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</si>
  <si>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</si>
  <si>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</si>
  <si>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</si>
  <si>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</si>
  <si>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</si>
  <si>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</si>
  <si>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</si>
  <si>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</si>
  <si>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</si>
  <si>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</si>
  <si>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</si>
  <si>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</si>
  <si>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</si>
  <si>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</si>
  <si>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</si>
  <si>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</si>
  <si>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</si>
  <si>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</si>
  <si>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</si>
  <si>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</si>
  <si>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</si>
  <si>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</si>
  <si>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</si>
  <si>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</si>
  <si>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</si>
  <si>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</si>
  <si>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</si>
  <si>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</si>
  <si>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</si>
  <si>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</si>
  <si>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</si>
  <si>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</si>
  <si>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</si>
  <si>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</si>
  <si>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</si>
  <si>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</si>
  <si>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</si>
  <si>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</si>
  <si>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</si>
  <si>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</si>
  <si>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</si>
  <si>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</si>
  <si>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</si>
  <si>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</si>
  <si>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</si>
  <si>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</si>
  <si>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</si>
  <si>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</si>
  <si>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</si>
  <si>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</si>
  <si>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</si>
  <si>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</si>
  <si>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</si>
  <si>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</si>
  <si>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</si>
  <si>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</si>
  <si>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</si>
  <si>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</si>
  <si>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</si>
  <si>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</si>
  <si>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</si>
  <si>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</si>
  <si>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</si>
  <si>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</si>
  <si>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</si>
  <si>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</si>
  <si>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</si>
  <si>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</si>
  <si>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</si>
  <si>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</si>
  <si>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</si>
  <si>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</si>
  <si>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</si>
  <si>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</si>
  <si>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</si>
  <si>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</si>
  <si>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</si>
  <si>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</si>
  <si>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</si>
  <si>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</si>
  <si>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</si>
  <si>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</si>
  <si>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</si>
  <si>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</si>
  <si>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</si>
  <si>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</si>
  <si>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</si>
  <si>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</si>
  <si>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</si>
  <si>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</si>
  <si>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</si>
  <si>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</si>
  <si>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</si>
  <si>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</si>
  <si>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</si>
  <si>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</si>
  <si>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</si>
  <si>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</si>
  <si>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</si>
  <si>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</si>
  <si>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</si>
  <si>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</si>
  <si>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</si>
  <si>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</si>
  <si>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</si>
  <si>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</si>
  <si>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</si>
  <si>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</si>
  <si>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</si>
  <si>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</si>
  <si>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</si>
  <si>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</si>
  <si>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</si>
  <si>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</si>
  <si>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</si>
  <si>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</si>
  <si>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</si>
  <si>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</si>
  <si>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</si>
  <si>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</si>
  <si>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</si>
  <si>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</si>
  <si>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</si>
  <si>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</si>
  <si>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</si>
  <si>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</si>
  <si>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</si>
  <si>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</si>
  <si>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</si>
  <si>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</si>
  <si>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</si>
  <si>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</si>
  <si>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</si>
  <si>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</si>
  <si>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</si>
  <si>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</si>
  <si>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</si>
  <si>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</si>
  <si>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</si>
  <si>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</si>
  <si>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</si>
  <si>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</si>
  <si>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</si>
  <si>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</si>
  <si>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</si>
  <si>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</si>
  <si>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</si>
  <si>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</si>
  <si>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</si>
  <si>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</si>
  <si>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</si>
  <si>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</si>
  <si>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</si>
  <si>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</si>
  <si>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</si>
  <si>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</si>
  <si>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</si>
  <si>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</si>
  <si>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</si>
  <si>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</si>
  <si>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</si>
  <si>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</si>
  <si>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</si>
  <si>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</si>
  <si>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</si>
  <si>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</si>
  <si>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</si>
  <si>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</si>
  <si>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</si>
  <si>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</si>
  <si>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</si>
  <si>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</si>
  <si>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</si>
  <si>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</si>
  <si>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</si>
  <si>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</si>
  <si>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</si>
  <si>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</si>
  <si>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</si>
  <si>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</si>
  <si>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</si>
  <si>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</si>
  <si>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</si>
  <si>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</si>
  <si>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</si>
  <si>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</si>
  <si>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</si>
  <si>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</si>
  <si>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</si>
  <si>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</si>
  <si>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</si>
  <si>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</si>
  <si>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</si>
  <si>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</si>
  <si>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</si>
  <si>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</si>
  <si>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</si>
  <si>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</si>
  <si>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</si>
  <si>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</si>
  <si>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</si>
  <si>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</si>
  <si>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</si>
  <si>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</si>
  <si>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</si>
  <si>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</si>
  <si>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</si>
  <si>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</si>
  <si>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</si>
  <si>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</si>
  <si>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</si>
  <si>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</si>
  <si>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</si>
  <si>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</si>
  <si>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</si>
  <si>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</si>
  <si>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</si>
  <si>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</si>
  <si>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</si>
  <si>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</si>
  <si>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</si>
  <si>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</si>
  <si>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</si>
  <si>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</si>
  <si>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</si>
  <si>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</si>
  <si>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</si>
  <si>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</si>
  <si>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</si>
  <si>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</si>
  <si>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</si>
  <si>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</si>
  <si>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</si>
  <si>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</si>
  <si>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</si>
  <si>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</si>
  <si>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</si>
  <si>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</si>
  <si>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</si>
  <si>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</si>
  <si>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</si>
  <si>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</si>
  <si>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</si>
  <si>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</si>
  <si>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</si>
  <si>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</si>
  <si>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</si>
  <si>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</si>
  <si>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</si>
  <si>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</si>
  <si>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</si>
  <si>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</si>
  <si>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</si>
  <si>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</si>
  <si>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</si>
  <si>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</si>
  <si>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</si>
  <si>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</si>
  <si>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</si>
  <si>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</si>
  <si>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</si>
  <si>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</si>
  <si>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</si>
  <si>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</si>
  <si>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</si>
  <si>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</si>
  <si>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</si>
  <si>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</si>
  <si>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</si>
  <si>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</si>
  <si>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</si>
  <si>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</si>
  <si>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</si>
  <si>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</si>
  <si>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</si>
  <si>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</si>
  <si>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</si>
  <si>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</si>
  <si>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</si>
  <si>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</si>
  <si>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</si>
  <si>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</si>
  <si>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</si>
  <si>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</si>
  <si>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</si>
  <si>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</si>
  <si>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</si>
  <si>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</si>
  <si>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</si>
  <si>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</si>
  <si>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</si>
  <si>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</si>
  <si>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</si>
  <si>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</si>
  <si>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</si>
  <si>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</si>
  <si>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</si>
  <si>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</si>
  <si>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</si>
  <si>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</si>
  <si>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</si>
  <si>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</si>
  <si>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</si>
  <si>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</si>
  <si>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</si>
  <si>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</si>
  <si>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</si>
  <si>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</si>
  <si>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</si>
  <si>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</si>
  <si>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</si>
  <si>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</si>
  <si>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</si>
  <si>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</si>
  <si>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</si>
  <si>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</si>
  <si>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</si>
  <si>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</si>
  <si>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</si>
  <si>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</si>
  <si>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</si>
  <si>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</si>
  <si>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</si>
  <si>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</si>
  <si>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</si>
  <si>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</si>
  <si>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</si>
  <si>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</si>
  <si>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</si>
  <si>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</si>
  <si>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</si>
  <si>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</si>
  <si>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</si>
  <si>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</si>
  <si>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</si>
  <si>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</si>
  <si>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</si>
  <si>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</si>
  <si>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</si>
  <si>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</si>
  <si>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</si>
  <si>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</si>
  <si>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</si>
  <si>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</si>
  <si>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</si>
  <si>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</si>
  <si>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</si>
  <si>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</si>
  <si>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</si>
  <si>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</si>
  <si>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</si>
  <si>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</si>
  <si>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</si>
  <si>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</si>
  <si>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</si>
  <si>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</si>
  <si>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</si>
  <si>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</si>
  <si>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</si>
  <si>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</si>
  <si>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</si>
  <si>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</si>
  <si>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</si>
  <si>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</si>
  <si>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</si>
  <si>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</si>
  <si>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</si>
  <si>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</si>
  <si>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</si>
  <si>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</si>
  <si>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</si>
  <si>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</si>
  <si>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</si>
  <si>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</si>
  <si>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</si>
  <si>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</si>
  <si>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</si>
  <si>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</si>
  <si>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</si>
  <si>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</si>
  <si>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</si>
  <si>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</si>
  <si>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</si>
  <si>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</si>
  <si>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</si>
  <si>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</si>
  <si>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</si>
  <si>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</si>
  <si>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</si>
  <si>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</si>
  <si>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</si>
  <si>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</si>
  <si>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</si>
  <si>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</si>
  <si>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</si>
  <si>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</si>
  <si>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</si>
  <si>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</si>
  <si>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</si>
  <si>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</si>
  <si>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</si>
  <si>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</si>
  <si>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</si>
  <si>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</si>
  <si>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</si>
  <si>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</si>
  <si>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</si>
  <si>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</si>
  <si>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</si>
  <si>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</si>
  <si>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</si>
  <si>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</si>
  <si>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</si>
  <si>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</si>
  <si>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</si>
  <si>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</si>
  <si>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</si>
  <si>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</si>
  <si>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</si>
  <si>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</si>
  <si>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</si>
  <si>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</si>
  <si>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</si>
  <si>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</si>
  <si>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</si>
  <si>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</si>
  <si>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</si>
  <si>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</si>
  <si>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</si>
  <si>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</si>
  <si>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</si>
  <si>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</si>
  <si>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</si>
  <si>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</si>
  <si>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</si>
  <si>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</si>
  <si>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</si>
  <si>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</si>
  <si>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</si>
  <si>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</si>
  <si>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</si>
  <si>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</si>
  <si>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</si>
  <si>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</si>
  <si>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</si>
  <si>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</si>
  <si>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</si>
  <si>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</si>
  <si>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</si>
  <si>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</si>
  <si>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</si>
  <si>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</si>
  <si>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</si>
  <si>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</si>
  <si>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</si>
  <si>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</si>
  <si>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</si>
  <si>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</si>
  <si>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</si>
  <si>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</si>
  <si>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</si>
  <si>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</si>
  <si>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</si>
  <si>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</si>
  <si>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</si>
  <si>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</si>
  <si>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</si>
  <si>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</si>
  <si>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</si>
  <si>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</si>
  <si>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</si>
  <si>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</si>
  <si>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</si>
  <si>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</si>
  <si>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</si>
  <si>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</si>
  <si>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</si>
  <si>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</si>
  <si>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</si>
  <si>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</si>
  <si>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</si>
  <si>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</si>
  <si>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</si>
  <si>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</si>
  <si>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</si>
  <si>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</si>
  <si>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</si>
  <si>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</si>
  <si>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</si>
  <si>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</si>
  <si>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</si>
  <si>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</si>
  <si>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</si>
  <si>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</si>
  <si>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</si>
  <si>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</si>
  <si>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</si>
  <si>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</si>
  <si>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</si>
  <si>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</si>
  <si>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</si>
  <si>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</si>
  <si>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</si>
  <si>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</si>
  <si>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</si>
  <si>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</si>
  <si>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</si>
  <si>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</si>
  <si>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</si>
  <si>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</si>
  <si>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</si>
  <si>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</si>
  <si>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</si>
  <si>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</si>
  <si>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</si>
  <si>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</si>
  <si>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</si>
  <si>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</si>
  <si>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</si>
  <si>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</si>
  <si>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</si>
  <si>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</si>
  <si>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</si>
  <si>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</si>
  <si>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</si>
  <si>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</si>
  <si>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</si>
  <si>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</si>
  <si>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</si>
  <si>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</si>
  <si>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</si>
  <si>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</si>
  <si>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</si>
  <si>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</si>
  <si>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</si>
  <si>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</si>
  <si>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</si>
  <si>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</si>
  <si>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</si>
  <si>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</si>
  <si>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</si>
  <si>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</si>
  <si>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</si>
  <si>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</si>
  <si>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</si>
  <si>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</si>
  <si>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</si>
  <si>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</si>
  <si>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</si>
  <si>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</si>
  <si>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</si>
  <si>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</si>
  <si>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</si>
  <si>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</si>
  <si>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</si>
  <si>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</si>
  <si>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</si>
  <si>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</si>
  <si>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</si>
  <si>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</si>
  <si>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</si>
  <si>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</si>
  <si>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</si>
  <si>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</si>
  <si>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</si>
  <si>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</si>
  <si>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</si>
  <si>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</si>
  <si>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</si>
  <si>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</si>
  <si>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</si>
  <si>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</si>
  <si>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</si>
  <si>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</si>
  <si>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</si>
  <si>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</si>
  <si>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</si>
  <si>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</si>
  <si>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</si>
  <si>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</si>
  <si>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</si>
  <si>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</si>
  <si>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</si>
  <si>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</si>
  <si>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</si>
  <si>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</si>
  <si>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</si>
  <si>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</si>
  <si>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</si>
  <si>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</si>
  <si>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</si>
  <si>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</si>
  <si>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</si>
  <si>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</si>
  <si>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</si>
  <si>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</si>
  <si>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</si>
  <si>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</si>
  <si>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</si>
  <si>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</si>
  <si>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</si>
  <si>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</si>
  <si>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</si>
  <si>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</si>
  <si>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</si>
  <si>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</si>
  <si>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</si>
  <si>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</si>
  <si>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</si>
  <si>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</si>
  <si>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</si>
  <si>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</si>
  <si>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</si>
  <si>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</si>
  <si>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</si>
  <si>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</si>
  <si>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</si>
  <si>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</si>
  <si>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</si>
  <si>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</si>
  <si>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</si>
  <si>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</si>
  <si>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</si>
  <si>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</si>
  <si>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</si>
  <si>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</si>
  <si>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</si>
  <si>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</si>
  <si>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</si>
  <si>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</si>
  <si>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</si>
  <si>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</si>
  <si>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</si>
  <si>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</si>
  <si>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</si>
  <si>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</si>
  <si>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</si>
  <si>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</si>
  <si>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</si>
  <si>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</si>
  <si>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</si>
  <si>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</si>
  <si>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</si>
  <si>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</si>
  <si>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</si>
  <si>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</si>
  <si>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</si>
  <si>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</si>
  <si>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</si>
  <si>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</si>
  <si>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</si>
  <si>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</si>
  <si>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</si>
  <si>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</si>
  <si>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</si>
  <si>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</si>
  <si>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</si>
  <si>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</si>
  <si>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</si>
  <si>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</si>
  <si>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</si>
  <si>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</si>
  <si>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</si>
  <si>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</si>
  <si>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</si>
  <si>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</si>
  <si>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</si>
  <si>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</si>
  <si>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</si>
  <si>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</si>
  <si>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</si>
  <si>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</si>
  <si>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</si>
  <si>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</si>
  <si>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</si>
  <si>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</si>
  <si>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</si>
  <si>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</si>
  <si>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</si>
  <si>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</si>
  <si>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</si>
  <si>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</si>
  <si>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</si>
  <si>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</si>
  <si>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</si>
  <si>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</si>
  <si>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</si>
  <si>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</si>
  <si>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</si>
  <si>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</si>
  <si>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</si>
  <si>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</si>
  <si>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</si>
  <si>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</si>
  <si>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</si>
  <si>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</si>
  <si>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</si>
  <si>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</si>
  <si>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</si>
  <si>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</si>
  <si>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</si>
  <si>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</si>
  <si>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</si>
  <si>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</si>
  <si>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</si>
  <si>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</si>
  <si>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</si>
  <si>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</si>
  <si>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</si>
  <si>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</si>
  <si>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</si>
  <si>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</si>
  <si>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</si>
  <si>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</si>
  <si>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</si>
  <si>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</si>
  <si>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</si>
  <si>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</si>
  <si>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</si>
  <si>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</si>
  <si>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</si>
  <si>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</si>
  <si>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</si>
  <si>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</si>
  <si>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</si>
  <si>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</si>
  <si>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</si>
  <si>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</si>
  <si>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</si>
  <si>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</si>
  <si>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</si>
  <si>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</si>
  <si>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</si>
  <si>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</si>
  <si>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</si>
  <si>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</si>
  <si>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</si>
  <si>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</si>
  <si>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</si>
  <si>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</si>
  <si>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</si>
  <si>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</si>
  <si>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</si>
  <si>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</si>
  <si>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</si>
  <si>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</si>
  <si>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</si>
  <si>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</si>
  <si>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</si>
  <si>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</si>
  <si>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</si>
  <si>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</si>
  <si>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</si>
  <si>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</si>
  <si>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</si>
  <si>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</si>
  <si>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</si>
  <si>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</si>
  <si>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</si>
  <si>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</si>
  <si>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</si>
  <si>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</si>
  <si>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</si>
  <si>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</si>
  <si>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</si>
  <si>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</si>
  <si>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</si>
  <si>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</si>
  <si>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</si>
  <si>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</si>
  <si>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</si>
  <si>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</si>
  <si>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</si>
  <si>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</si>
  <si>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</si>
  <si>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</si>
  <si>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</si>
  <si>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</si>
  <si>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</si>
  <si>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</si>
  <si>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</si>
  <si>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</si>
  <si>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</si>
  <si>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</si>
  <si>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</si>
  <si>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</si>
  <si>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</si>
  <si>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</si>
  <si>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</si>
  <si>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</si>
  <si>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</si>
  <si>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</si>
  <si>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</si>
  <si>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</si>
  <si>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</si>
  <si>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</si>
  <si>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</si>
  <si>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</si>
  <si>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</si>
  <si>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</si>
  <si>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</si>
  <si>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</si>
  <si>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</si>
  <si>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</si>
  <si>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</si>
  <si>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</si>
  <si>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</si>
  <si>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</si>
  <si>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</si>
  <si>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</si>
  <si>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</si>
  <si>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</si>
  <si>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</si>
  <si>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</si>
  <si>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</si>
  <si>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</si>
  <si>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</si>
  <si>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</si>
  <si>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</si>
  <si>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</si>
  <si>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</si>
  <si>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</si>
  <si>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</si>
  <si>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</si>
  <si>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</si>
  <si>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</si>
  <si>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</si>
  <si>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</si>
  <si>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</si>
  <si>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</si>
  <si>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</si>
  <si>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</si>
  <si>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</si>
  <si>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</si>
  <si>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</si>
  <si>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</si>
  <si>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</si>
  <si>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</si>
  <si>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</si>
  <si>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</si>
  <si>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</si>
  <si>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</si>
  <si>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</si>
  <si>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</si>
  <si>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</si>
  <si>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</si>
  <si>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</si>
  <si>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</si>
  <si>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</si>
  <si>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</si>
  <si>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</si>
  <si>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</si>
  <si>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</si>
  <si>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</si>
  <si>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</si>
  <si>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</si>
  <si>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</si>
  <si>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</si>
  <si>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</si>
  <si>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</si>
  <si>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</si>
  <si>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</si>
  <si>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</si>
  <si>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</si>
  <si>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</si>
  <si>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</si>
  <si>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</si>
  <si>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</si>
  <si>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</si>
  <si>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</si>
  <si>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</si>
  <si>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</si>
  <si>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</si>
  <si>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</si>
  <si>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</si>
  <si>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</si>
  <si>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</si>
  <si>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</si>
  <si>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</si>
  <si>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</si>
  <si>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</si>
  <si>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</si>
  <si>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</si>
  <si>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</si>
  <si>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</si>
  <si>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</si>
  <si>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</si>
  <si>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</si>
  <si>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</si>
  <si>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</si>
  <si>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</si>
  <si>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</si>
  <si>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</si>
  <si>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</si>
  <si>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</si>
  <si>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</si>
  <si>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</si>
  <si>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</si>
  <si>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</si>
  <si>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</si>
  <si>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</si>
  <si>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</si>
  <si>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</si>
  <si>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</si>
  <si>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</si>
  <si>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</si>
  <si>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</si>
  <si>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</si>
  <si>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</si>
  <si>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</si>
  <si>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</si>
  <si>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</si>
  <si>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</si>
  <si>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</si>
  <si>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</si>
  <si>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</si>
  <si>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</si>
  <si>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</si>
  <si>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</si>
  <si>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</si>
  <si>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</si>
  <si>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</si>
  <si>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</si>
  <si>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</si>
  <si>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</si>
  <si>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</si>
  <si>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</si>
  <si>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</si>
  <si>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</si>
  <si>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</si>
  <si>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</si>
  <si>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</si>
  <si>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</si>
  <si>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</si>
  <si>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</si>
  <si>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</si>
  <si>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</si>
  <si>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</si>
  <si>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</si>
  <si>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</si>
  <si>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</si>
  <si>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</si>
  <si>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</si>
  <si>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</si>
  <si>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</si>
  <si>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</si>
  <si>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</si>
  <si>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</si>
  <si>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</si>
  <si>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</si>
  <si>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</si>
  <si>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</si>
  <si>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</si>
  <si>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</si>
  <si>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</si>
  <si>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</si>
  <si>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</si>
  <si>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</si>
  <si>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</si>
  <si>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</si>
  <si>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</si>
  <si>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</si>
  <si>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</si>
  <si>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</si>
  <si>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</si>
  <si>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</si>
  <si>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</si>
  <si>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</si>
  <si>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</si>
  <si>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</si>
  <si>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</si>
  <si>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</si>
  <si>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</si>
  <si>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</si>
  <si>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</si>
  <si>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</si>
  <si>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</si>
  <si>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</si>
  <si>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</si>
  <si>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</si>
  <si>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</si>
  <si>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</si>
  <si>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</si>
  <si>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</si>
  <si>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</si>
  <si>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</si>
  <si>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</si>
  <si>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</si>
  <si>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</si>
  <si>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</si>
  <si>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</si>
  <si>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</si>
  <si>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</si>
  <si>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</si>
  <si>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</si>
  <si>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</si>
  <si>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</si>
  <si>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</si>
  <si>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</si>
  <si>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</si>
  <si>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</si>
  <si>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</si>
  <si>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</si>
  <si>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</si>
  <si>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</si>
  <si>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</si>
  <si>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</si>
  <si>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</si>
  <si>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</si>
  <si>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</si>
  <si>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</si>
  <si>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</si>
  <si>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</si>
  <si>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</si>
  <si>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</si>
  <si>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</si>
  <si>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</si>
  <si>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</si>
  <si>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</si>
  <si>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</si>
  <si>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</si>
  <si>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</si>
  <si>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</si>
  <si>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</si>
  <si>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</si>
  <si>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</si>
  <si>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</si>
  <si>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</si>
  <si>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</si>
  <si>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</si>
  <si>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</si>
  <si>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</si>
  <si>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</si>
  <si>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</si>
  <si>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</si>
  <si>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</si>
  <si>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</si>
  <si>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</si>
  <si>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</si>
  <si>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</si>
  <si>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</si>
  <si>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</si>
  <si>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</si>
  <si>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</si>
  <si>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</si>
  <si>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</si>
  <si>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</si>
  <si>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</si>
  <si>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</si>
  <si>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</si>
  <si>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</si>
  <si>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</si>
  <si>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</si>
  <si>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</si>
  <si>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</si>
  <si>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</si>
  <si>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</si>
  <si>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</si>
  <si>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</si>
  <si>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</si>
  <si>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</si>
  <si>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</si>
  <si>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</si>
  <si>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</si>
  <si>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</si>
  <si>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</si>
  <si>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</si>
  <si>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</si>
  <si>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</si>
  <si>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</si>
  <si>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</si>
  <si>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</si>
  <si>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</si>
  <si>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</si>
  <si>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</si>
  <si>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</si>
  <si>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</si>
  <si>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</si>
  <si>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</si>
  <si>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</si>
  <si>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</si>
  <si>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</si>
  <si>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</si>
  <si>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</si>
  <si>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</si>
  <si>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</si>
  <si>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</si>
  <si>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</si>
  <si>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</si>
  <si>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</si>
  <si>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</si>
  <si>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</si>
  <si>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</si>
  <si>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</si>
  <si>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</si>
  <si>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</si>
  <si>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</si>
  <si>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</si>
  <si>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</si>
  <si>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</si>
  <si>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</si>
  <si>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</si>
  <si>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</si>
  <si>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</si>
  <si>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</si>
  <si>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</si>
  <si>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</si>
  <si>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</si>
  <si>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</si>
  <si>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</si>
  <si>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</si>
  <si>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</si>
  <si>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</si>
  <si>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</si>
  <si>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</si>
  <si>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</si>
  <si>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</si>
  <si>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</si>
  <si>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</si>
  <si>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</si>
  <si>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</si>
  <si>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</si>
  <si>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</si>
  <si>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</si>
  <si>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</si>
  <si>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</si>
  <si>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</si>
  <si>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</si>
  <si>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</si>
  <si>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</si>
  <si>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</si>
  <si>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</si>
  <si>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</si>
  <si>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</si>
  <si>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</si>
  <si>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</si>
  <si>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</si>
  <si>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</si>
  <si>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</si>
  <si>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</si>
  <si>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</si>
  <si>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</si>
  <si>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</si>
  <si>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</si>
  <si>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</si>
  <si>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</si>
  <si>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</si>
  <si>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</si>
  <si>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</si>
  <si>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</si>
  <si>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</si>
  <si>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</si>
  <si>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</si>
  <si>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</si>
  <si>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</si>
  <si>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</si>
  <si>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</si>
  <si>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</si>
  <si>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</si>
  <si>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</si>
  <si>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</si>
  <si>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</si>
  <si>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</si>
  <si>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</si>
  <si>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</si>
  <si>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</si>
  <si>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</si>
  <si>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</si>
  <si>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</si>
  <si>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</si>
  <si>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</si>
  <si>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</si>
  <si>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</si>
  <si>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</si>
  <si>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</si>
  <si>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</si>
  <si>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</si>
  <si>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</si>
  <si>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</si>
  <si>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</si>
  <si>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</si>
  <si>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</si>
  <si>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</si>
  <si>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</si>
  <si>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</si>
  <si>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</si>
  <si>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</si>
  <si>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</si>
  <si>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</si>
  <si>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</si>
  <si>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</si>
  <si>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</si>
  <si>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</si>
  <si>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</si>
  <si>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</si>
  <si>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</si>
  <si>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</si>
  <si>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</si>
  <si>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</si>
  <si>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</si>
  <si>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</si>
  <si>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</si>
  <si>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</si>
  <si>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</si>
  <si>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</si>
  <si>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</si>
  <si>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</si>
  <si>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</si>
  <si>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</si>
  <si>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</si>
  <si>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</si>
  <si>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</si>
  <si>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</si>
  <si>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</si>
  <si>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</si>
  <si>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</si>
  <si>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</si>
  <si>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</si>
  <si>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</si>
  <si>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</si>
  <si>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</si>
  <si>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</si>
  <si>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</si>
  <si>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</si>
  <si>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</si>
  <si>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</si>
  <si>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</si>
  <si>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</si>
  <si>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</si>
  <si>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</si>
  <si>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</si>
  <si>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</si>
  <si>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</si>
  <si>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</si>
  <si>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</si>
  <si>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</si>
  <si>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</si>
  <si>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</si>
  <si>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</si>
  <si>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</si>
  <si>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</si>
  <si>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</si>
  <si>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</si>
  <si>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</si>
  <si>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</si>
  <si>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</si>
  <si>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</si>
  <si>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</si>
  <si>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</si>
  <si>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</si>
  <si>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</si>
  <si>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</si>
  <si>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</si>
  <si>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</si>
  <si>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</si>
  <si>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</si>
  <si>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</si>
  <si>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</si>
  <si>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</si>
  <si>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</si>
  <si>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</si>
  <si>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</si>
  <si>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</si>
  <si>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</si>
  <si>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</si>
  <si>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</si>
  <si>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</si>
  <si>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</si>
  <si>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</si>
  <si>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</si>
  <si>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</si>
  <si>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</si>
  <si>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</si>
  <si>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</si>
  <si>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</si>
  <si>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</si>
  <si>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</si>
  <si>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</si>
  <si>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</si>
  <si>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</si>
  <si>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</si>
  <si>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</si>
  <si>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</si>
  <si>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</si>
  <si>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</si>
  <si>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</si>
  <si>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</si>
  <si>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</si>
  <si>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</si>
  <si>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</si>
  <si>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</si>
  <si>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</si>
  <si>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</si>
  <si>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</si>
  <si>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</si>
  <si>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</si>
  <si>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</si>
  <si>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</si>
  <si>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</si>
  <si>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</si>
  <si>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</si>
  <si>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</si>
  <si>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</si>
  <si>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</si>
  <si>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</si>
  <si>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</si>
  <si>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</si>
  <si>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</si>
  <si>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</si>
  <si>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</si>
  <si>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</si>
  <si>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</si>
  <si>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</si>
  <si>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</si>
  <si>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</si>
  <si>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</si>
  <si>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</si>
  <si>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</si>
  <si>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</si>
  <si>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</si>
  <si>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</si>
  <si>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</si>
  <si>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</si>
  <si>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</si>
  <si>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</si>
  <si>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</si>
  <si>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</si>
  <si>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</si>
  <si>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</si>
  <si>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</si>
  <si>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</si>
  <si>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</si>
  <si>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</si>
  <si>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</si>
  <si>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</si>
  <si>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</si>
  <si>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</si>
  <si>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</si>
  <si>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</si>
  <si>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</si>
  <si>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</si>
  <si>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</si>
  <si>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</si>
  <si>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</si>
  <si>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</si>
  <si>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</si>
  <si>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</si>
  <si>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</si>
  <si>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</si>
  <si>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</si>
  <si>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</si>
  <si>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</si>
  <si>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</si>
  <si>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</si>
  <si>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</si>
  <si>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</si>
  <si>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</si>
  <si>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</si>
  <si>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</si>
  <si>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</si>
  <si>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</si>
  <si>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</si>
  <si>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</si>
  <si>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</si>
  <si>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</si>
  <si>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</si>
  <si>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</si>
  <si>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</si>
  <si>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</si>
  <si>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</si>
  <si>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</si>
  <si>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</si>
  <si>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</si>
  <si>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</si>
  <si>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</si>
  <si>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</si>
  <si>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</si>
  <si>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</si>
  <si>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</si>
  <si>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</si>
  <si>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</si>
  <si>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</si>
  <si>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</si>
  <si>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</si>
  <si>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</si>
  <si>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</si>
  <si>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</si>
  <si>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</si>
  <si>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</si>
  <si>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</si>
  <si>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</si>
  <si>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</si>
  <si>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</si>
  <si>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</si>
  <si>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</si>
  <si>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</si>
  <si>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</si>
  <si>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</si>
  <si>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</si>
  <si>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</si>
  <si>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</si>
  <si>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</si>
  <si>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</si>
  <si>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</si>
  <si>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</si>
  <si>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</si>
  <si>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</si>
  <si>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</si>
  <si>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</si>
  <si>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</si>
  <si>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</si>
  <si>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</si>
  <si>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</si>
  <si>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</si>
  <si>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</si>
  <si>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</si>
  <si>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</si>
  <si>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</si>
  <si>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</si>
  <si>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</si>
  <si>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</si>
  <si>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</si>
  <si>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</si>
  <si>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</si>
  <si>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</si>
  <si>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</si>
  <si>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</si>
  <si>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</si>
  <si>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</si>
  <si>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</si>
  <si>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</si>
  <si>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</si>
  <si>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</si>
  <si>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</si>
  <si>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</si>
  <si>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</si>
  <si>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</si>
  <si>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</si>
  <si>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</si>
  <si>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</si>
  <si>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</si>
  <si>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</si>
  <si>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</si>
  <si>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</si>
  <si>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</si>
  <si>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</si>
  <si>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</si>
  <si>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</si>
  <si>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</si>
  <si>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</si>
  <si>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</si>
  <si>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</si>
  <si>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</si>
  <si>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</si>
  <si>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</si>
  <si>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</si>
  <si>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</si>
  <si>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</si>
  <si>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</si>
  <si>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</si>
  <si>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</si>
  <si>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</si>
  <si>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</si>
  <si>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</si>
  <si>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</si>
  <si>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</si>
  <si>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</si>
  <si>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</si>
  <si>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</si>
  <si>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</si>
  <si>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</si>
  <si>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</si>
  <si>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</si>
  <si>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</si>
  <si>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</si>
  <si>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</si>
  <si>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</si>
  <si>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</si>
  <si>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</si>
  <si>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</si>
  <si>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</si>
  <si>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</si>
  <si>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</si>
  <si>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</si>
  <si>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</si>
  <si>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</si>
  <si>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</si>
  <si>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</si>
  <si>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</si>
  <si>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</si>
  <si>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</si>
  <si>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</si>
  <si>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</si>
  <si>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</si>
  <si>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</si>
  <si>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</si>
  <si>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</si>
  <si>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</si>
  <si>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</si>
  <si>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</si>
  <si>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</si>
  <si>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</si>
  <si>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</si>
  <si>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</si>
  <si>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</si>
  <si>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</si>
  <si>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</si>
  <si>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</si>
  <si>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</si>
  <si>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</si>
  <si>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</si>
  <si>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</si>
  <si>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</si>
  <si>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</si>
  <si>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</si>
  <si>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</si>
  <si>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</si>
  <si>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</si>
  <si>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</si>
  <si>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</si>
  <si>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</si>
  <si>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</si>
  <si>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</si>
  <si>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</si>
  <si>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</si>
  <si>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</si>
  <si>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</si>
  <si>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</si>
  <si>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</si>
  <si>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</si>
  <si>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</si>
  <si>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</si>
  <si>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</si>
  <si>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</si>
  <si>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</si>
  <si>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</si>
  <si>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</si>
  <si>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</si>
  <si>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</si>
  <si>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</si>
  <si>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</si>
  <si>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</si>
  <si>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</si>
  <si>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</si>
  <si>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</si>
  <si>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</si>
  <si>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</si>
  <si>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</si>
  <si>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</si>
  <si>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</si>
  <si>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</si>
  <si>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</si>
  <si>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</si>
  <si>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</si>
  <si>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</si>
  <si>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</si>
  <si>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</si>
  <si>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</si>
  <si>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</si>
  <si>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</si>
  <si>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</si>
  <si>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</si>
  <si>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</si>
  <si>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</si>
  <si>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</si>
  <si>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</si>
  <si>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</si>
  <si>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</si>
  <si>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</si>
  <si>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</si>
  <si>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</si>
  <si>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</si>
  <si>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</si>
  <si>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</si>
  <si>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</si>
  <si>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</si>
  <si>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</si>
  <si>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</si>
  <si>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</si>
  <si>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</si>
  <si>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</si>
  <si>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</si>
  <si>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</si>
  <si>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</si>
  <si>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</si>
  <si>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</si>
  <si>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</si>
  <si>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</si>
  <si>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</si>
  <si>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</si>
  <si>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</si>
  <si>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</si>
  <si>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</si>
  <si>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</si>
  <si>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</si>
  <si>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</si>
  <si>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</si>
  <si>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</si>
  <si>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</si>
  <si>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</si>
  <si>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</si>
  <si>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</si>
  <si>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</si>
  <si>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</si>
  <si>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</si>
  <si>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</si>
  <si>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</si>
  <si>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</si>
  <si>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</si>
  <si>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</si>
  <si>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</si>
  <si>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</si>
  <si>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</si>
  <si>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</si>
  <si>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</si>
  <si>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</si>
  <si>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</si>
  <si>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</si>
  <si>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</si>
  <si>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</si>
  <si>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</si>
  <si>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</si>
  <si>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</si>
  <si>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</si>
  <si>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</si>
  <si>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</si>
  <si>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</si>
  <si>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</si>
  <si>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</si>
  <si>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</si>
  <si>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</si>
  <si>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</si>
  <si>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</si>
  <si>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</si>
  <si>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</si>
  <si>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</si>
  <si>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</si>
  <si>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</si>
  <si>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</si>
  <si>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</si>
  <si>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</si>
  <si>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</si>
  <si>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</si>
  <si>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</si>
  <si>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</si>
  <si>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</si>
  <si>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</si>
  <si>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</si>
  <si>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</si>
  <si>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</si>
  <si>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</si>
  <si>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</si>
  <si>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</si>
  <si>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</si>
  <si>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</si>
  <si>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</si>
  <si>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</si>
  <si>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</si>
  <si>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</si>
  <si>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</si>
  <si>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</si>
  <si>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</si>
  <si>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</si>
  <si>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</si>
  <si>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</si>
  <si>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</si>
  <si>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</si>
  <si>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</si>
  <si>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</si>
  <si>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</si>
  <si>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</si>
  <si>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</si>
  <si>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</si>
  <si>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</si>
  <si>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</si>
  <si>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</si>
  <si>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</si>
  <si>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</si>
  <si>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</si>
  <si>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</si>
  <si>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</si>
  <si>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</si>
  <si>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</si>
  <si>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</si>
  <si>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</si>
  <si>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</si>
  <si>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</si>
  <si>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</si>
  <si>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</si>
  <si>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</si>
  <si>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</si>
  <si>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</si>
  <si>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</si>
  <si>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</si>
  <si>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</si>
  <si>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</si>
  <si>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</si>
  <si>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</si>
  <si>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</si>
  <si>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</si>
  <si>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</si>
  <si>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</si>
  <si>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</si>
  <si>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</si>
  <si>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</si>
  <si>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</si>
  <si>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</si>
  <si>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</si>
  <si>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</si>
  <si>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</si>
  <si>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</si>
  <si>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</si>
  <si>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</si>
  <si>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</si>
  <si>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</si>
  <si>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</si>
  <si>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</si>
  <si>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</si>
  <si>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</si>
  <si>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</si>
  <si>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</si>
  <si>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</si>
  <si>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</si>
  <si>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</si>
  <si>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</si>
  <si>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</si>
  <si>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</si>
  <si>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</si>
  <si>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</si>
  <si>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</si>
  <si>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</si>
  <si>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</si>
  <si>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</si>
  <si>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</si>
  <si>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</si>
  <si>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</si>
  <si>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</si>
  <si>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</si>
  <si>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</si>
  <si>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</si>
  <si>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</si>
  <si>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</si>
  <si>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</si>
  <si>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</si>
  <si>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</si>
  <si>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</si>
  <si>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</si>
  <si>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</si>
  <si>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</si>
  <si>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</si>
  <si>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</si>
  <si>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</si>
  <si>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</si>
  <si>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</si>
  <si>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</si>
  <si>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</si>
  <si>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</si>
  <si>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</si>
  <si>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</si>
  <si>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</si>
  <si>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</si>
  <si>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</si>
  <si>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</si>
  <si>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</si>
  <si>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</si>
  <si>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</si>
  <si>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</si>
  <si>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</si>
  <si>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</si>
  <si>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</si>
  <si>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</si>
  <si>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</si>
  <si>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</si>
  <si>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</si>
  <si>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</si>
  <si>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</si>
  <si>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</si>
  <si>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</si>
  <si>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</si>
  <si>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</si>
  <si>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</si>
  <si>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</si>
  <si>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</si>
  <si>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</si>
  <si>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</si>
  <si>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</si>
  <si>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</si>
  <si>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</si>
  <si>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</si>
  <si>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</si>
  <si>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</si>
  <si>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</si>
  <si>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</si>
  <si>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</si>
  <si>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</si>
  <si>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</si>
  <si>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</si>
  <si>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</si>
  <si>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</si>
  <si>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</si>
  <si>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</si>
  <si>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</si>
  <si>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</si>
  <si>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</si>
  <si>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</si>
  <si>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</si>
  <si>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</si>
  <si>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</si>
  <si>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</si>
  <si>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</si>
  <si>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</si>
  <si>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</si>
  <si>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</si>
  <si>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</si>
  <si>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</si>
  <si>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</si>
  <si>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</si>
  <si>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</si>
  <si>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</si>
  <si>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</si>
  <si>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</si>
  <si>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</si>
  <si>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</si>
  <si>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</si>
  <si>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</si>
  <si>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</si>
  <si>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</si>
  <si>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</si>
  <si>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</si>
  <si>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</si>
  <si>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</si>
  <si>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</si>
  <si>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</si>
  <si>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</si>
  <si>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</si>
  <si>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</si>
  <si>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</si>
  <si>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</si>
  <si>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</si>
  <si>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</si>
  <si>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</si>
  <si>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</si>
  <si>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</si>
  <si>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</si>
  <si>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</si>
  <si>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</si>
  <si>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</si>
  <si>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</si>
  <si>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</si>
  <si>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</si>
  <si>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</si>
  <si>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</si>
  <si>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</si>
  <si>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</si>
  <si>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</si>
  <si>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</si>
  <si>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</si>
  <si>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</si>
  <si>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</si>
  <si>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</si>
  <si>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</si>
  <si>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</si>
  <si>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</si>
  <si>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</si>
  <si>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</si>
  <si>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</si>
  <si>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</si>
  <si>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</si>
  <si>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</si>
  <si>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</si>
  <si>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</si>
  <si>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</si>
  <si>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</si>
  <si>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</si>
  <si>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</si>
  <si>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</si>
  <si>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</si>
  <si>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</si>
  <si>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</si>
  <si>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</si>
  <si>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</si>
  <si>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</si>
  <si>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</si>
  <si>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</si>
  <si>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</si>
  <si>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</si>
  <si>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</si>
  <si>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</si>
  <si>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</si>
  <si>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</si>
  <si>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</si>
  <si>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</si>
  <si>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</si>
  <si>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</si>
  <si>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</si>
  <si>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</si>
  <si>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</si>
  <si>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</si>
  <si>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</si>
  <si>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</si>
  <si>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</si>
  <si>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</si>
  <si>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</si>
  <si>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</si>
  <si>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</si>
  <si>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</si>
  <si>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</si>
  <si>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</si>
  <si>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</si>
  <si>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</si>
  <si>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</si>
  <si>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</si>
  <si>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</si>
  <si>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</si>
  <si>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</si>
  <si>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</si>
  <si>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</si>
  <si>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</si>
  <si>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</si>
  <si>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</si>
  <si>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</si>
  <si>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</si>
  <si>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</si>
  <si>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</si>
  <si>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</si>
  <si>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</si>
  <si>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</si>
  <si>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</si>
  <si>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</si>
  <si>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</si>
  <si>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</si>
  <si>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</si>
  <si>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</si>
  <si>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</si>
  <si>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</si>
  <si>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</si>
  <si>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</si>
  <si>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</si>
  <si>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</si>
  <si>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</si>
  <si>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</si>
  <si>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</si>
  <si>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</si>
  <si>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</si>
  <si>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</si>
  <si>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</si>
  <si>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</si>
  <si>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</si>
  <si>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</si>
  <si>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</si>
  <si>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</si>
  <si>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</si>
  <si>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</si>
  <si>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</si>
  <si>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</si>
  <si>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</si>
  <si>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</si>
  <si>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</si>
  <si>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</si>
  <si>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</si>
  <si>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</si>
  <si>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</si>
  <si>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</si>
  <si>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</si>
  <si>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</si>
  <si>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</si>
  <si>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</si>
  <si>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</si>
  <si>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</si>
  <si>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</si>
  <si>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</si>
  <si>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</si>
  <si>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</si>
  <si>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</si>
  <si>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</si>
  <si>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</si>
  <si>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</si>
  <si>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</si>
  <si>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</si>
  <si>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</si>
  <si>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</si>
  <si>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</si>
  <si>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</si>
  <si>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</si>
  <si>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</si>
  <si>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</si>
  <si>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</si>
  <si>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</si>
  <si>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</si>
  <si>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</si>
  <si>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</si>
  <si>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</si>
  <si>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</si>
  <si>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</si>
  <si>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</si>
  <si>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</si>
  <si>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</si>
  <si>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</si>
  <si>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</si>
  <si>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</si>
  <si>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</si>
  <si>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</si>
  <si>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</si>
  <si>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</si>
  <si>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</si>
  <si>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</si>
  <si>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</si>
  <si>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</si>
  <si>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</si>
  <si>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</si>
  <si>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</si>
  <si>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</si>
  <si>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</si>
  <si>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</si>
  <si>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</si>
  <si>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</si>
  <si>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</si>
  <si>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</si>
  <si>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</si>
  <si>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</si>
  <si>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</si>
  <si>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</si>
  <si>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</si>
  <si>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</si>
  <si>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</si>
  <si>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</si>
  <si>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</si>
  <si>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</si>
  <si>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</si>
  <si>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</si>
  <si>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</si>
  <si>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</si>
  <si>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</si>
  <si>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</si>
  <si>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</si>
  <si>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</si>
  <si>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</si>
  <si>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</si>
  <si>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</si>
  <si>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</si>
  <si>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</si>
  <si>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</si>
  <si>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</si>
  <si>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</si>
  <si>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</si>
  <si>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</si>
  <si>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</si>
  <si>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</si>
  <si>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</si>
  <si>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</si>
  <si>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</si>
  <si>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</si>
  <si>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</si>
  <si>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</si>
  <si>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</si>
  <si>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</si>
  <si>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</si>
  <si>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</si>
  <si>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</si>
  <si>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</si>
  <si>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</si>
  <si>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</si>
  <si>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</si>
  <si>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</si>
  <si>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</si>
  <si>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</si>
  <si>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</si>
  <si>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</si>
  <si>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</si>
  <si>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</si>
  <si>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</si>
  <si>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</si>
  <si>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</si>
  <si>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</si>
  <si>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</si>
  <si>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</si>
  <si>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</si>
  <si>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</si>
  <si>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</si>
  <si>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</si>
  <si>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</si>
  <si>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</si>
  <si>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</si>
  <si>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</si>
  <si>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</si>
  <si>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</si>
  <si>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</si>
  <si>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</si>
  <si>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</si>
  <si>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</si>
  <si>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</si>
  <si>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</si>
  <si>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</si>
  <si>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</si>
  <si>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</si>
  <si>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</si>
  <si>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</si>
  <si>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</si>
  <si>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</si>
  <si>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</si>
  <si>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</si>
  <si>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</si>
  <si>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</si>
  <si>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</si>
  <si>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</si>
  <si>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</si>
  <si>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</si>
  <si>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</si>
  <si>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</si>
  <si>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</si>
  <si>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</si>
  <si>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</si>
  <si>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</si>
  <si>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</si>
  <si>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</si>
  <si>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</si>
  <si>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</si>
  <si>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</si>
  <si>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</si>
  <si>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</si>
  <si>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</si>
  <si>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</si>
  <si>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</si>
  <si>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</si>
  <si>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</si>
  <si>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</si>
  <si>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</si>
  <si>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</si>
  <si>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</si>
  <si>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</si>
  <si>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</si>
  <si>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</si>
  <si>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</si>
  <si>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</si>
  <si>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</si>
  <si>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</si>
  <si>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</si>
  <si>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</si>
  <si>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</si>
  <si>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</si>
  <si>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</si>
  <si>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</si>
  <si>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</si>
  <si>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</si>
  <si>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</si>
  <si>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</si>
  <si>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</si>
  <si>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</si>
  <si>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</si>
  <si>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</si>
  <si>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</si>
  <si>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</si>
  <si>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</si>
  <si>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</si>
  <si>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</si>
  <si>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</si>
  <si>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</si>
  <si>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</si>
  <si>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</si>
  <si>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</si>
  <si>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</si>
  <si>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</si>
  <si>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</si>
  <si>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</si>
  <si>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</si>
  <si>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</si>
  <si>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</si>
  <si>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</si>
  <si>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</si>
  <si>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</si>
  <si>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</si>
  <si>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</si>
  <si>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</si>
  <si>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</si>
  <si>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</si>
  <si>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</si>
  <si>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</si>
  <si>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</si>
  <si>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</si>
  <si>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</si>
  <si>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</si>
  <si>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</si>
  <si>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</si>
  <si>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</si>
  <si>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</si>
  <si>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</si>
  <si>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</si>
  <si>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</si>
  <si>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</si>
  <si>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</si>
  <si>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</si>
  <si>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</si>
  <si>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</si>
  <si>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</si>
  <si>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</si>
  <si>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</si>
  <si>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</si>
  <si>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</si>
  <si>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</si>
  <si>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</si>
  <si>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</si>
  <si>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</si>
  <si>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</si>
  <si>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</si>
  <si>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</si>
  <si>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</si>
  <si>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</si>
  <si>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</si>
  <si>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</si>
  <si>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</si>
  <si>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</si>
  <si>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</si>
  <si>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</si>
  <si>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</si>
  <si>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</si>
  <si>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</si>
  <si>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</si>
  <si>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</si>
  <si>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</si>
  <si>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</si>
  <si>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</si>
  <si>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</si>
  <si>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</si>
  <si>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</si>
  <si>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</si>
  <si>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</si>
  <si>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</si>
  <si>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</si>
  <si>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</si>
  <si>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</si>
  <si>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</si>
  <si>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</si>
  <si>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</si>
  <si>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</si>
  <si>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</si>
  <si>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</si>
  <si>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</si>
  <si>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</si>
  <si>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</si>
  <si>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</si>
  <si>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</si>
  <si>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</si>
  <si>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</si>
  <si>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</si>
  <si>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</si>
  <si>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</si>
  <si>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</si>
  <si>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</si>
  <si>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</si>
  <si>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</si>
  <si>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</si>
  <si>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</si>
  <si>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</si>
  <si>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</si>
  <si>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</si>
  <si>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</si>
  <si>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</si>
  <si>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</si>
  <si>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</si>
  <si>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</si>
  <si>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</si>
  <si>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</si>
  <si>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</si>
  <si>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</si>
  <si>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</si>
  <si>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</si>
  <si>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</si>
  <si>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</si>
  <si>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</si>
  <si>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</si>
  <si>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</si>
  <si>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</si>
  <si>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</si>
  <si>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</si>
  <si>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</si>
  <si>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</si>
  <si>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</si>
  <si>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</si>
  <si>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</si>
  <si>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</si>
  <si>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</si>
  <si>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</si>
  <si>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</si>
  <si>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</si>
  <si>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</si>
  <si>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</si>
  <si>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</si>
  <si>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</si>
  <si>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</si>
  <si>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</si>
  <si>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</si>
  <si>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</si>
  <si>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</si>
  <si>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</si>
  <si>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</si>
  <si>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</si>
  <si>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</si>
  <si>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</si>
  <si>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</si>
  <si>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</si>
  <si>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</si>
  <si>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</si>
  <si>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</si>
  <si>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</si>
  <si>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</si>
  <si>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</si>
  <si>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</si>
  <si>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</si>
  <si>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</si>
  <si>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</si>
  <si>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</si>
  <si>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</si>
  <si>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</si>
  <si>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</si>
  <si>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</si>
  <si>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</si>
  <si>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</si>
  <si>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</si>
  <si>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</si>
  <si>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</si>
  <si>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</si>
  <si>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</si>
  <si>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</si>
  <si>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</si>
  <si>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</si>
  <si>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</si>
  <si>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</si>
  <si>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</si>
  <si>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</si>
  <si>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</si>
  <si>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</si>
  <si>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</si>
  <si>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</si>
  <si>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</si>
  <si>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</si>
  <si>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</si>
  <si>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</si>
  <si>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</si>
  <si>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</si>
  <si>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</si>
  <si>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</si>
  <si>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</si>
  <si>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</si>
  <si>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</si>
  <si>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</si>
  <si>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</si>
  <si>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</si>
  <si>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</si>
  <si>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</si>
  <si>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</si>
  <si>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</si>
  <si>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</si>
  <si>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</si>
  <si>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</si>
  <si>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</si>
  <si>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</si>
  <si>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</si>
  <si>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</si>
  <si>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</si>
  <si>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</si>
  <si>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</si>
  <si>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</si>
  <si>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</si>
  <si>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</si>
  <si>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</si>
  <si>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</si>
  <si>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</si>
  <si>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</si>
  <si>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</si>
  <si>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</si>
  <si>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</si>
  <si>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</si>
  <si>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</si>
  <si>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</si>
  <si>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</si>
  <si>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</si>
  <si>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</si>
  <si>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</si>
  <si>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</si>
  <si>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</si>
  <si>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</si>
  <si>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</si>
  <si>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</si>
  <si>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</si>
  <si>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</si>
  <si>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</si>
  <si>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</si>
  <si>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</si>
  <si>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</si>
  <si>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</si>
  <si>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</si>
  <si>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</si>
  <si>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</si>
  <si>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</si>
  <si>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</si>
  <si>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</si>
  <si>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</si>
  <si>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</si>
  <si>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</si>
  <si>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</si>
  <si>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</si>
  <si>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</si>
  <si>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</si>
  <si>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</si>
  <si>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</si>
  <si>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</si>
  <si>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</si>
  <si>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</si>
  <si>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</si>
  <si>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</si>
  <si>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</si>
  <si>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</si>
  <si>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</si>
  <si>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</si>
  <si>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</si>
  <si>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</si>
  <si>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</si>
  <si>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</si>
  <si>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</si>
  <si>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</si>
  <si>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</si>
  <si>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</si>
  <si>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</si>
  <si>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</si>
  <si>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</si>
  <si>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</si>
  <si>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</si>
  <si>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</si>
  <si>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</si>
  <si>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</si>
  <si>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</si>
  <si>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</si>
  <si>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</si>
  <si>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</si>
  <si>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</si>
  <si>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</si>
  <si>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</si>
  <si>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</si>
  <si>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</si>
  <si>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</si>
  <si>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</si>
  <si>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</si>
  <si>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</si>
  <si>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</si>
  <si>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</si>
  <si>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</si>
  <si>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</si>
  <si>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</si>
  <si>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</si>
  <si>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</si>
  <si>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</si>
  <si>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</si>
  <si>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</si>
  <si>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</si>
  <si>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</si>
  <si>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</si>
  <si>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</si>
  <si>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</si>
  <si>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</si>
  <si>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</si>
  <si>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</si>
  <si>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</si>
  <si>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</si>
  <si>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</si>
  <si>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</si>
  <si>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</si>
  <si>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</si>
  <si>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</si>
  <si>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</si>
  <si>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</si>
  <si>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</si>
  <si>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</si>
  <si>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</si>
  <si>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</si>
  <si>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</si>
  <si>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</si>
  <si>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</si>
  <si>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</si>
  <si>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</si>
  <si>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</si>
  <si>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</si>
  <si>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</si>
  <si>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</si>
  <si>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</si>
  <si>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</si>
  <si>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</si>
  <si>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</si>
  <si>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</si>
  <si>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</si>
  <si>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</si>
  <si>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</si>
  <si>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</si>
  <si>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</si>
  <si>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</si>
  <si>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</si>
  <si>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</si>
  <si>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</si>
  <si>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</si>
  <si>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</si>
  <si>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</si>
  <si>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</si>
  <si>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</si>
  <si>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</si>
  <si>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</si>
  <si>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</si>
  <si>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</si>
  <si>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</si>
  <si>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</si>
  <si>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</si>
  <si>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</si>
  <si>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</si>
  <si>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</si>
  <si>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</si>
  <si>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</si>
  <si>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</si>
  <si>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</si>
  <si>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</si>
  <si>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</si>
  <si>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</si>
  <si>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</si>
  <si>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</si>
  <si>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</si>
  <si>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</si>
  <si>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</si>
  <si>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</si>
  <si>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</si>
  <si>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</si>
  <si>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</si>
  <si>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</si>
  <si>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</si>
  <si>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</si>
  <si>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</si>
  <si>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</si>
  <si>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</si>
  <si>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</si>
  <si>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</si>
  <si>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</si>
  <si>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</si>
  <si>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</si>
  <si>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</si>
  <si>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</si>
  <si>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</si>
  <si>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</si>
  <si>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</si>
  <si>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</si>
  <si>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</si>
  <si>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</si>
  <si>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</si>
  <si>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</si>
  <si>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</si>
  <si>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</si>
  <si>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</si>
  <si>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</si>
  <si>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</si>
  <si>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</si>
  <si>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</si>
  <si>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</si>
  <si>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</si>
  <si>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</si>
  <si>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</si>
  <si>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</si>
  <si>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</si>
  <si>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</si>
  <si>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</si>
  <si>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</si>
  <si>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</si>
  <si>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</si>
  <si>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</si>
  <si>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</si>
  <si>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</si>
  <si>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</si>
  <si>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</si>
  <si>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</si>
  <si>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</si>
  <si>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</si>
  <si>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</si>
  <si>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</si>
  <si>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</si>
  <si>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</si>
  <si>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</si>
  <si>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</si>
  <si>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</si>
  <si>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</si>
  <si>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</si>
  <si>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</si>
  <si>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</si>
  <si>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</si>
  <si>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</si>
  <si>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</si>
  <si>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</si>
  <si>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</si>
  <si>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</si>
  <si>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</si>
  <si>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</si>
  <si>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</si>
  <si>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</si>
  <si>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</si>
  <si>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</si>
  <si>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</si>
  <si>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</si>
  <si>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</si>
  <si>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</si>
  <si>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</si>
  <si>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</si>
  <si>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</si>
  <si>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</si>
  <si>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</si>
  <si>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</si>
  <si>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</si>
  <si>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</si>
  <si>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</si>
  <si>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</si>
  <si>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</si>
  <si>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</si>
  <si>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</si>
  <si>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</si>
  <si>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</si>
  <si>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</si>
  <si>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</si>
  <si>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</si>
  <si>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</si>
  <si>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</si>
  <si>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</si>
  <si>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</si>
  <si>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</si>
  <si>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</si>
  <si>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</si>
  <si>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</si>
  <si>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</si>
  <si>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</si>
  <si>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</si>
  <si>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</si>
  <si>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</si>
  <si>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</si>
  <si>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</si>
  <si>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</si>
  <si>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</si>
  <si>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</si>
  <si>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</si>
  <si>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</si>
  <si>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</si>
  <si>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</si>
  <si>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</si>
  <si>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</si>
  <si>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</si>
  <si>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</si>
  <si>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</si>
  <si>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</si>
  <si>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</si>
  <si>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</si>
  <si>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</si>
  <si>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</si>
  <si>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</si>
  <si>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</si>
  <si>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</si>
  <si>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</si>
  <si>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</si>
  <si>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</si>
  <si>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</si>
  <si>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</si>
  <si>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</si>
  <si>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</si>
  <si>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</si>
  <si>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</si>
  <si>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</si>
  <si>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</si>
  <si>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</si>
  <si>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</si>
  <si>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</si>
  <si>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</si>
  <si>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</si>
  <si>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</si>
  <si>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</si>
  <si>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</si>
  <si>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</si>
  <si>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</si>
  <si>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</si>
  <si>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</si>
  <si>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</si>
  <si>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</si>
  <si>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</si>
  <si>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</si>
  <si>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</si>
  <si>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</si>
  <si>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</si>
  <si>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</si>
  <si>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</si>
  <si>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</si>
  <si>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</si>
  <si>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</si>
  <si>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</si>
  <si>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</si>
  <si>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</si>
  <si>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</si>
  <si>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</si>
  <si>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</si>
  <si>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</si>
  <si>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</si>
  <si>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</si>
  <si>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</si>
  <si>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</si>
  <si>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</si>
  <si>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</si>
  <si>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</si>
  <si>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</si>
  <si>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</si>
  <si>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</si>
  <si>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</si>
  <si>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</si>
  <si>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</si>
  <si>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</si>
  <si>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</si>
  <si>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</si>
  <si>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</si>
  <si>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</si>
  <si>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</si>
  <si>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</si>
  <si>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</si>
  <si>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</si>
  <si>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</si>
  <si>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</si>
  <si>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</si>
  <si>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</si>
  <si>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</si>
  <si>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</si>
  <si>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</si>
  <si>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</si>
  <si>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</si>
  <si>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</si>
  <si>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</si>
  <si>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</si>
  <si>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</si>
  <si>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</si>
  <si>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</si>
  <si>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</si>
  <si>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</si>
  <si>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</si>
  <si>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</si>
  <si>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</si>
  <si>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</si>
  <si>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</si>
  <si>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</si>
  <si>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</si>
  <si>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</si>
  <si>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</si>
  <si>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</si>
  <si>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</si>
  <si>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</si>
  <si>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</si>
  <si>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</si>
  <si>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</si>
  <si>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</si>
  <si>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</si>
  <si>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</si>
  <si>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</si>
  <si>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</si>
  <si>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</si>
  <si>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</si>
  <si>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</si>
  <si>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</si>
  <si>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</si>
  <si>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</si>
  <si>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</si>
  <si>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</si>
  <si>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</si>
  <si>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</si>
  <si>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</si>
  <si>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</si>
  <si>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</si>
  <si>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</si>
  <si>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</si>
  <si>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</si>
  <si>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</si>
  <si>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</si>
  <si>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</si>
  <si>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</si>
  <si>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</si>
  <si>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</si>
  <si>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</si>
  <si>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</si>
  <si>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</si>
  <si>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</si>
  <si>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</si>
  <si>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</si>
  <si>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</si>
  <si>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</si>
  <si>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</si>
  <si>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</si>
  <si>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</si>
  <si>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</si>
  <si>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</si>
  <si>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</si>
  <si>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</si>
  <si>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</si>
  <si>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</si>
  <si>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</si>
  <si>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</si>
  <si>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</si>
  <si>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</si>
  <si>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</si>
  <si>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</si>
  <si>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</si>
  <si>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</si>
  <si>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</si>
  <si>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</si>
  <si>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</si>
  <si>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</si>
  <si>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</si>
  <si>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</si>
  <si>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</si>
  <si>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</si>
  <si>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</si>
  <si>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</si>
  <si>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</si>
  <si>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</si>
  <si>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</si>
  <si>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</si>
  <si>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</si>
  <si>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</si>
  <si>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</si>
  <si>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</si>
  <si>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</si>
  <si>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</si>
  <si>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</si>
  <si>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</si>
  <si>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</si>
  <si>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</si>
  <si>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</si>
  <si>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</si>
  <si>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</si>
  <si>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</si>
  <si>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</si>
  <si>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</si>
  <si>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</si>
  <si>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</si>
  <si>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</si>
  <si>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</si>
  <si>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</si>
  <si>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</si>
  <si>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</si>
  <si>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</si>
  <si>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</si>
  <si>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</si>
  <si>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</si>
  <si>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</si>
  <si>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</si>
  <si>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</si>
  <si>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</si>
  <si>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</si>
  <si>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</si>
  <si>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</si>
  <si>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</si>
  <si>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</si>
  <si>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</si>
  <si>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</si>
  <si>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</si>
  <si>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</si>
  <si>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</si>
  <si>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</si>
  <si>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</si>
  <si>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</si>
  <si>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</si>
  <si>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</si>
  <si>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</si>
  <si>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</si>
  <si>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</si>
  <si>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</si>
  <si>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</si>
  <si>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</si>
  <si>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</si>
  <si>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</si>
  <si>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</si>
  <si>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</si>
  <si>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</si>
  <si>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</si>
  <si>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</si>
  <si>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</si>
  <si>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</si>
  <si>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</si>
  <si>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</si>
  <si>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</si>
  <si>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</si>
  <si>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</si>
  <si>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</si>
  <si>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</si>
  <si>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</si>
  <si>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</si>
  <si>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</si>
  <si>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</si>
  <si>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</si>
  <si>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</si>
  <si>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</si>
  <si>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</si>
  <si>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</si>
  <si>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</si>
  <si>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</si>
  <si>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</si>
  <si>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</si>
  <si>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</si>
  <si>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</si>
  <si>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</si>
  <si>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</si>
  <si>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</si>
  <si>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</si>
  <si>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</si>
  <si>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</si>
  <si>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</si>
  <si>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</si>
  <si>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</si>
  <si>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</si>
  <si>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</si>
  <si>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</si>
  <si>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</si>
  <si>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</si>
  <si>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</si>
  <si>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</si>
  <si>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</si>
  <si>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</si>
  <si>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</si>
  <si>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</si>
  <si>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</si>
  <si>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</si>
  <si>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</si>
  <si>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</si>
  <si>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</si>
  <si>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</si>
  <si>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</si>
  <si>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</si>
  <si>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</si>
  <si>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</si>
  <si>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</si>
  <si>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</si>
  <si>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</si>
  <si>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</si>
  <si>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</si>
  <si>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</si>
  <si>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</si>
  <si>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</si>
  <si>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</si>
  <si>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</si>
  <si>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</si>
  <si>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</si>
  <si>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</si>
  <si>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</si>
  <si>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</si>
  <si>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</si>
  <si>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</si>
  <si>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</si>
  <si>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</si>
  <si>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</si>
  <si>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</si>
  <si>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</si>
  <si>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</si>
  <si>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</si>
  <si>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</si>
  <si>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</si>
  <si>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</si>
  <si>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</si>
  <si>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</si>
  <si>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</si>
  <si>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</si>
  <si>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</si>
  <si>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</si>
  <si>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</si>
  <si>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</si>
  <si>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</si>
  <si>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</si>
  <si>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</si>
  <si>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</si>
  <si>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</si>
  <si>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</si>
  <si>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</si>
  <si>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</si>
  <si>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</si>
  <si>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</si>
  <si>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</si>
  <si>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</si>
  <si>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</si>
  <si>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</si>
  <si>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</si>
  <si>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</si>
  <si>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</si>
  <si>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</si>
  <si>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</si>
  <si>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</si>
  <si>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</si>
  <si>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</si>
  <si>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</si>
  <si>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</si>
  <si>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</si>
  <si>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</si>
  <si>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</si>
  <si>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</si>
  <si>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</si>
  <si>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</si>
  <si>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</si>
  <si>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</si>
  <si>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</si>
  <si>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</si>
  <si>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</si>
  <si>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</si>
  <si>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</si>
  <si>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</si>
  <si>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</si>
  <si>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</si>
  <si>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</si>
  <si>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</si>
  <si>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</si>
  <si>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</si>
  <si>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</si>
  <si>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</si>
  <si>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</si>
  <si>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</si>
  <si>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</si>
  <si>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</si>
  <si>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</si>
  <si>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</si>
  <si>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</si>
  <si>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</si>
  <si>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</si>
  <si>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</si>
  <si>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</si>
  <si>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</si>
  <si>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</si>
  <si>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</si>
  <si>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</si>
  <si>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</si>
  <si>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</si>
  <si>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</si>
  <si>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</si>
  <si>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</si>
  <si>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</si>
  <si>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</si>
  <si>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</si>
  <si>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</si>
  <si>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</si>
  <si>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</si>
  <si>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</si>
  <si>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</si>
  <si>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</si>
  <si>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</si>
  <si>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</si>
  <si>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</si>
  <si>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</si>
  <si>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</si>
  <si>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</si>
  <si>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</si>
  <si>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</si>
  <si>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</si>
  <si>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</si>
  <si>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</si>
  <si>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</si>
  <si>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</si>
  <si>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</si>
  <si>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</si>
  <si>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</si>
  <si>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</si>
  <si>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</si>
  <si>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</si>
  <si>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</si>
  <si>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</si>
  <si>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</si>
  <si>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</si>
  <si>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</si>
  <si>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</si>
  <si>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</si>
  <si>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</si>
  <si>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</si>
  <si>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</si>
  <si>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</si>
  <si>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</si>
  <si>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</si>
  <si>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</si>
  <si>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</si>
  <si>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</si>
  <si>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</si>
  <si>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</si>
  <si>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</si>
  <si>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</si>
  <si>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</si>
  <si>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</si>
  <si>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</si>
  <si>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</si>
  <si>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</si>
  <si>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</si>
  <si>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</si>
  <si>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</si>
  <si>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</si>
  <si>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</si>
  <si>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</si>
  <si>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</si>
  <si>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</si>
  <si>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</si>
  <si>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</si>
  <si>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</si>
  <si>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</si>
  <si>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</si>
  <si>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</si>
  <si>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</si>
  <si>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</si>
  <si>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</si>
  <si>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</si>
  <si>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</si>
  <si>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</si>
  <si>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</si>
  <si>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</si>
  <si>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</si>
  <si>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</si>
  <si>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</si>
  <si>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</si>
  <si>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</si>
  <si>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</si>
  <si>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</si>
  <si>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</si>
  <si>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</si>
  <si>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</si>
  <si>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</si>
  <si>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</si>
  <si>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</si>
  <si>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</si>
  <si>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</si>
  <si>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</si>
  <si>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</si>
  <si>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</si>
  <si>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</si>
  <si>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</si>
  <si>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</si>
  <si>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</si>
  <si>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</si>
  <si>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</si>
  <si>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</si>
  <si>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</si>
  <si>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</si>
  <si>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</si>
  <si>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</si>
  <si>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</si>
  <si>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</si>
  <si>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</si>
  <si>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</si>
  <si>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</si>
  <si>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</si>
  <si>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</si>
  <si>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</si>
  <si>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</si>
  <si>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</si>
  <si>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</si>
  <si>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</si>
  <si>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</si>
  <si>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</si>
  <si>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</si>
  <si>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</si>
  <si>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</si>
  <si>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</si>
  <si>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</si>
  <si>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</si>
  <si>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</si>
  <si>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</si>
  <si>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</si>
  <si>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</si>
  <si>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</si>
  <si>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</si>
  <si>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</si>
  <si>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</si>
  <si>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</si>
  <si>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</si>
  <si>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</si>
  <si>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</si>
  <si>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</si>
  <si>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</si>
  <si>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</si>
  <si>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</si>
  <si>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</si>
  <si>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</si>
  <si>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</si>
  <si>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</si>
  <si>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</si>
  <si>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</si>
  <si>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</si>
  <si>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</si>
  <si>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</si>
  <si>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</si>
  <si>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</si>
  <si>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</si>
  <si>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</si>
  <si>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</si>
  <si>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</si>
  <si>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</si>
  <si>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</si>
  <si>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</si>
  <si>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</si>
  <si>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</si>
  <si>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</si>
  <si>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</si>
  <si>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</si>
  <si>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</si>
  <si>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</si>
  <si>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</si>
  <si>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</si>
  <si>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</si>
  <si>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</si>
  <si>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</si>
  <si>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</si>
  <si>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</si>
  <si>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</si>
  <si>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</si>
  <si>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</si>
  <si>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</si>
  <si>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</si>
  <si>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</si>
  <si>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</si>
  <si>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</si>
  <si>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</si>
  <si>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</si>
  <si>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</si>
  <si>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</si>
  <si>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</si>
  <si>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</si>
  <si>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</si>
  <si>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</si>
  <si>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</si>
  <si>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</si>
  <si>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</si>
  <si>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</si>
  <si>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</si>
  <si>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</si>
  <si>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</si>
  <si>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</si>
  <si>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</si>
  <si>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</si>
  <si>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</si>
  <si>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</si>
  <si>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</si>
  <si>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</si>
  <si>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</si>
  <si>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</si>
  <si>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</si>
  <si>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</si>
  <si>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</si>
  <si>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</si>
  <si>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</si>
  <si>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</si>
  <si>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</si>
  <si>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</si>
  <si>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</si>
  <si>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</si>
  <si>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</si>
  <si>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</si>
  <si>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</si>
  <si>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</si>
  <si>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</si>
  <si>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</si>
  <si>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</si>
  <si>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</si>
  <si>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</si>
  <si>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</si>
  <si>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</si>
  <si>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</si>
  <si>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</si>
  <si>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</si>
  <si>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</si>
  <si>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</si>
  <si>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</si>
  <si>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</si>
  <si>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</si>
  <si>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</si>
  <si>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</si>
  <si>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</si>
  <si>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</si>
  <si>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</si>
  <si>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</si>
  <si>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</si>
  <si>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</si>
  <si>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</si>
  <si>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</si>
  <si>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</si>
  <si>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</si>
  <si>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</si>
  <si>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</si>
  <si>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</si>
  <si>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</si>
  <si>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</si>
  <si>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</si>
  <si>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</si>
  <si>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</si>
  <si>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</si>
  <si>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</si>
  <si>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</si>
  <si>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</si>
  <si>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</si>
  <si>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</si>
  <si>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</si>
  <si>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</si>
  <si>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</si>
  <si>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</si>
  <si>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</si>
  <si>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</si>
  <si>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</si>
  <si>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</si>
  <si>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</si>
  <si>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</si>
  <si>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</si>
  <si>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</si>
  <si>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</si>
  <si>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</si>
  <si>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</si>
  <si>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</si>
  <si>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</si>
  <si>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</si>
  <si>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</si>
  <si>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</si>
  <si>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</si>
  <si>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</si>
  <si>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</si>
  <si>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</si>
  <si>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</si>
  <si>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</si>
  <si>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</si>
  <si>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</si>
  <si>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</si>
  <si>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</si>
  <si>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</si>
  <si>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</si>
  <si>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</si>
  <si>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</si>
  <si>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</si>
  <si>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</si>
  <si>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</si>
  <si>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</si>
  <si>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</si>
  <si>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</si>
  <si>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</si>
  <si>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</si>
  <si>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</si>
  <si>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</si>
  <si>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</si>
  <si>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</si>
  <si>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</si>
  <si>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</si>
  <si>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</si>
  <si>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</si>
  <si>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</si>
  <si>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</si>
  <si>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</si>
  <si>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</si>
  <si>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</si>
  <si>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</si>
  <si>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</si>
  <si>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</si>
  <si>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</si>
  <si>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</si>
  <si>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</si>
  <si>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</si>
  <si>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</si>
  <si>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</si>
  <si>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</si>
  <si>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</si>
  <si>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</si>
  <si>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</si>
  <si>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</si>
  <si>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</si>
  <si>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</si>
  <si>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</si>
  <si>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</si>
  <si>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</si>
  <si>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</si>
  <si>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</si>
  <si>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</si>
  <si>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</si>
  <si>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</si>
  <si>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</si>
  <si>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</si>
  <si>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</si>
  <si>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</si>
  <si>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</si>
  <si>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</si>
  <si>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</si>
  <si>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</si>
  <si>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</si>
  <si>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</si>
  <si>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</si>
  <si>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</si>
  <si>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</si>
  <si>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</si>
  <si>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</si>
  <si>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</si>
  <si>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</si>
  <si>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</si>
  <si>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</si>
  <si>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</si>
  <si>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</si>
  <si>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</si>
  <si>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</si>
  <si>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</si>
  <si>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</si>
  <si>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</si>
  <si>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</si>
  <si>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</si>
  <si>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</si>
  <si>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</si>
  <si>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</si>
  <si>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</si>
  <si>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</si>
  <si>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</si>
  <si>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</si>
  <si>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</si>
  <si>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</si>
  <si>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</si>
  <si>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</si>
  <si>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</si>
  <si>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</si>
  <si>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</si>
  <si>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</si>
  <si>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</si>
  <si>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</si>
  <si>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</si>
  <si>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</si>
  <si>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</si>
  <si>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</si>
  <si>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</si>
  <si>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</si>
  <si>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</si>
  <si>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</si>
  <si>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</si>
  <si>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</si>
  <si>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</si>
  <si>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</si>
  <si>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</si>
  <si>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</si>
  <si>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</si>
  <si>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</si>
  <si>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</si>
  <si>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</si>
  <si>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</si>
  <si>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</si>
  <si>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</si>
  <si>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</si>
  <si>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</si>
  <si>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</si>
  <si>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</si>
  <si>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</si>
  <si>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</si>
  <si>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</si>
  <si>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</si>
  <si>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</si>
  <si>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</si>
  <si>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</si>
  <si>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</si>
  <si>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</si>
  <si>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</si>
  <si>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</si>
  <si>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</si>
  <si>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</si>
  <si>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</si>
  <si>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</si>
  <si>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</si>
  <si>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</si>
  <si>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</si>
  <si>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</si>
  <si>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</si>
  <si>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</si>
  <si>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</si>
  <si>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</si>
  <si>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</si>
  <si>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</si>
  <si>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</si>
  <si>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</si>
  <si>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</si>
  <si>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</si>
  <si>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</si>
  <si>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</si>
  <si>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</si>
  <si>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</si>
  <si>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</si>
  <si>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</si>
  <si>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</si>
  <si>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</si>
  <si>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</si>
  <si>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</si>
  <si>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</si>
  <si>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</si>
  <si>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</si>
  <si>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</si>
  <si>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</si>
  <si>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</si>
  <si>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</si>
  <si>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</si>
  <si>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</si>
  <si>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</si>
  <si>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</si>
  <si>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</si>
  <si>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</si>
  <si>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</si>
  <si>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</si>
  <si>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</si>
  <si>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</si>
  <si>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</si>
  <si>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</si>
  <si>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</si>
  <si>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</si>
  <si>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</si>
  <si>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</si>
  <si>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</si>
  <si>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</si>
  <si>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</si>
  <si>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</si>
  <si>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</si>
  <si>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</si>
  <si>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</si>
  <si>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</si>
  <si>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</si>
  <si>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</si>
  <si>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</si>
  <si>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</si>
  <si>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</si>
  <si>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</si>
  <si>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</si>
  <si>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</si>
  <si>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</si>
  <si>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</si>
  <si>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</si>
  <si>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</si>
  <si>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</si>
  <si>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</si>
  <si>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</si>
  <si>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</si>
  <si>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</si>
  <si>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</si>
  <si>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</si>
  <si>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</si>
  <si>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</si>
  <si>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</si>
  <si>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</si>
  <si>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</si>
  <si>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</si>
  <si>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</si>
  <si>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</si>
  <si>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</si>
  <si>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</si>
  <si>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</si>
  <si>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</si>
  <si>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</si>
  <si>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</si>
  <si>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</si>
  <si>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</si>
  <si>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</si>
  <si>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</si>
  <si>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</si>
  <si>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</si>
  <si>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</si>
  <si>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</si>
  <si>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</si>
  <si>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</si>
  <si>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</si>
  <si>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</si>
  <si>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</si>
  <si>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</si>
  <si>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</si>
  <si>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</si>
  <si>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</si>
  <si>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</si>
  <si>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</si>
  <si>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</si>
  <si>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</si>
  <si>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</si>
  <si>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</si>
  <si>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</si>
  <si>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</si>
  <si>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</si>
  <si>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</si>
  <si>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</si>
  <si>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</si>
  <si>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</si>
  <si>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</si>
  <si>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</si>
  <si>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</si>
  <si>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</si>
  <si>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</si>
  <si>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</si>
  <si>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</si>
  <si>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</si>
  <si>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</si>
  <si>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</si>
  <si>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</si>
  <si>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</si>
  <si>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</si>
  <si>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</si>
  <si>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</si>
  <si>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</si>
  <si>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</si>
  <si>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</si>
  <si>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</si>
  <si>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</si>
  <si>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</si>
  <si>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</si>
  <si>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</si>
  <si>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</si>
  <si>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</si>
  <si>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</si>
  <si>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</si>
  <si>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</si>
  <si>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</si>
  <si>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</si>
  <si>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</si>
  <si>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</si>
  <si>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</si>
  <si>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</si>
  <si>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</si>
  <si>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</si>
  <si>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</si>
  <si>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</si>
  <si>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</si>
  <si>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</si>
  <si>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</si>
  <si>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</si>
  <si>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</si>
  <si>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</si>
  <si>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</si>
  <si>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</si>
  <si>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</si>
  <si>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</si>
  <si>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</si>
  <si>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</si>
  <si>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</si>
  <si>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</si>
  <si>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</si>
  <si>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</si>
  <si>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</si>
  <si>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</si>
  <si>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</si>
  <si>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</si>
  <si>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</si>
  <si>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</si>
  <si>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</si>
  <si>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</si>
  <si>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</si>
  <si>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</si>
  <si>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</si>
  <si>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</si>
  <si>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</si>
  <si>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</si>
  <si>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</si>
  <si>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</si>
  <si>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</si>
  <si>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</si>
  <si>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</si>
  <si>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</si>
  <si>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</si>
  <si>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</si>
  <si>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</si>
  <si>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</si>
  <si>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</si>
  <si>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</si>
  <si>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</si>
  <si>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</si>
  <si>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</si>
  <si>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</si>
  <si>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</si>
  <si>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</si>
  <si>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</si>
  <si>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</si>
  <si>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</si>
  <si>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</si>
  <si>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</si>
  <si>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</si>
  <si>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</si>
  <si>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</si>
  <si>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</si>
  <si>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</si>
  <si>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</si>
  <si>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</si>
  <si>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</si>
  <si>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</si>
  <si>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</si>
  <si>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</si>
  <si>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</si>
  <si>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</si>
  <si>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</si>
  <si>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</si>
  <si>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</si>
  <si>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</si>
  <si>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</si>
  <si>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</si>
  <si>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</si>
  <si>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</si>
  <si>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</si>
  <si>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</si>
  <si>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</si>
  <si>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</si>
  <si>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</si>
  <si>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</si>
  <si>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</si>
  <si>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</si>
  <si>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</si>
  <si>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</si>
  <si>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</si>
  <si>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</si>
  <si>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</si>
  <si>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</si>
  <si>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</si>
  <si>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</si>
  <si>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</si>
  <si>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</si>
  <si>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</si>
  <si>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</si>
  <si>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</si>
  <si>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</si>
  <si>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</si>
  <si>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</si>
  <si>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</si>
  <si>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</si>
  <si>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</si>
  <si>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</si>
  <si>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</si>
  <si>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</si>
  <si>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</si>
  <si>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</si>
  <si>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</si>
  <si>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</si>
  <si>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</si>
  <si>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</si>
  <si>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</si>
  <si>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</si>
  <si>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</si>
  <si>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</si>
  <si>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</si>
  <si>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</si>
  <si>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</si>
  <si>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</si>
  <si>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</si>
  <si>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</si>
  <si>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</si>
  <si>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</si>
  <si>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</si>
  <si>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</si>
  <si>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</si>
  <si>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</si>
  <si>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</si>
  <si>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</si>
  <si>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</si>
  <si>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</si>
  <si>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</si>
  <si>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</si>
  <si>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</si>
  <si>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</si>
  <si>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</si>
  <si>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</si>
  <si>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</si>
  <si>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</si>
  <si>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</si>
  <si>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</si>
  <si>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</si>
  <si>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</si>
  <si>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</si>
  <si>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</si>
  <si>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</si>
  <si>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</si>
  <si>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</si>
  <si>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</si>
  <si>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</si>
  <si>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</si>
  <si>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</si>
  <si>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</si>
  <si>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</si>
  <si>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</si>
  <si>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</si>
  <si>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</si>
  <si>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</si>
  <si>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</si>
  <si>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</si>
  <si>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</si>
  <si>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</si>
  <si>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</si>
  <si>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</si>
  <si>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</si>
  <si>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</si>
  <si>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</si>
  <si>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</si>
  <si>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</si>
  <si>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</si>
  <si>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</si>
  <si>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</si>
  <si>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</si>
  <si>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</si>
  <si>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</si>
  <si>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</si>
  <si>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</si>
  <si>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</si>
  <si>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</si>
  <si>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</si>
  <si>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</si>
  <si>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</si>
  <si>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</si>
  <si>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</si>
  <si>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</si>
  <si>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</si>
  <si>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</si>
  <si>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</si>
  <si>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</si>
  <si>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</si>
  <si>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</si>
  <si>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</si>
  <si>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</si>
  <si>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</si>
  <si>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</si>
  <si>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</si>
  <si>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</si>
  <si>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</si>
  <si>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</si>
  <si>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</si>
  <si>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</si>
  <si>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</si>
  <si>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</si>
  <si>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</si>
  <si>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</si>
  <si>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</si>
  <si>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</si>
  <si>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</si>
  <si>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</si>
  <si>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</si>
  <si>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</si>
  <si>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</si>
  <si>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</si>
  <si>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</si>
  <si>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</si>
  <si>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</si>
  <si>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</si>
  <si>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</si>
  <si>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</si>
  <si>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</si>
  <si>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</si>
  <si>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</si>
  <si>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</si>
  <si>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</si>
  <si>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</si>
  <si>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</si>
  <si>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</si>
  <si>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</si>
  <si>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</si>
  <si>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</si>
  <si>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</si>
  <si>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</si>
  <si>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</si>
  <si>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</si>
  <si>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</si>
  <si>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</si>
  <si>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</si>
  <si>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</si>
  <si>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</si>
  <si>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</si>
  <si>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</si>
  <si>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</si>
  <si>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</si>
  <si>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</si>
  <si>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</si>
  <si>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</si>
  <si>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</si>
  <si>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</si>
  <si>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</si>
  <si>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</si>
  <si>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</si>
  <si>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</si>
  <si>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</si>
  <si>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</si>
  <si>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</si>
  <si>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</si>
  <si>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</si>
  <si>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</si>
  <si>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</si>
  <si>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</si>
  <si>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</si>
  <si>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</si>
  <si>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</si>
  <si>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</si>
  <si>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</si>
  <si>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</si>
  <si>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</si>
  <si>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</si>
  <si>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</si>
  <si>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</si>
  <si>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</si>
  <si>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</si>
  <si>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</si>
  <si>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</si>
  <si>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</si>
  <si>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</si>
  <si>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</si>
  <si>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</si>
  <si>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</si>
  <si>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</si>
  <si>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</si>
  <si>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</si>
  <si>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</si>
  <si>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</si>
  <si>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</si>
  <si>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</si>
  <si>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</si>
  <si>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</si>
  <si>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</si>
  <si>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</si>
  <si>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</si>
  <si>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</si>
  <si>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</si>
  <si>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</si>
  <si>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</si>
  <si>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</si>
  <si>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</si>
  <si>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</si>
  <si>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</si>
  <si>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</si>
  <si>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</si>
  <si>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</si>
  <si>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</si>
  <si>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</si>
  <si>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</si>
  <si>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</si>
  <si>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</si>
  <si>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</si>
  <si>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</si>
  <si>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</si>
  <si>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</si>
  <si>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</si>
  <si>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</si>
  <si>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</si>
  <si>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</si>
  <si>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</si>
  <si>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</si>
  <si>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</si>
  <si>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</si>
  <si>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</si>
  <si>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</si>
  <si>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</si>
  <si>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</si>
  <si>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</si>
  <si>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</si>
  <si>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</si>
  <si>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</si>
  <si>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</si>
  <si>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</si>
  <si>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</si>
  <si>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</si>
  <si>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</si>
  <si>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</si>
  <si>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</si>
  <si>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</si>
  <si>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</si>
  <si>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</si>
  <si>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</si>
  <si>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</si>
  <si>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</si>
  <si>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</si>
  <si>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</si>
  <si>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</si>
  <si>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</si>
  <si>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</si>
  <si>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</si>
  <si>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</si>
  <si>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</si>
  <si>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</si>
  <si>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</si>
  <si>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</si>
  <si>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</si>
  <si>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</si>
  <si>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</si>
  <si>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</si>
  <si>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</si>
  <si>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</si>
  <si>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</si>
  <si>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</si>
  <si>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</si>
  <si>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</si>
  <si>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</si>
  <si>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</si>
  <si>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</si>
  <si>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</si>
  <si>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</si>
  <si>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</si>
  <si>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</si>
  <si>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</si>
  <si>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</si>
  <si>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</si>
  <si>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</si>
  <si>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</si>
  <si>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</si>
  <si>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</si>
  <si>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</si>
  <si>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</si>
  <si>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</si>
  <si>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</si>
  <si>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</si>
  <si>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</si>
  <si>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</si>
  <si>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</si>
  <si>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</si>
  <si>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</si>
  <si>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</si>
  <si>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</si>
  <si>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</si>
  <si>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</si>
  <si>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</si>
  <si>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</si>
  <si>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</si>
  <si>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</si>
  <si>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</si>
  <si>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</si>
  <si>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</si>
  <si>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</si>
  <si>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</si>
  <si>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</si>
  <si>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</si>
  <si>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</si>
  <si>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</si>
  <si>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</si>
  <si>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</si>
  <si>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</si>
  <si>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</si>
  <si>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</si>
  <si>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</si>
  <si>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</si>
  <si>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</si>
  <si>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</si>
  <si>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</si>
  <si>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</si>
  <si>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</si>
  <si>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</si>
  <si>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</si>
  <si>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</si>
  <si>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</si>
  <si>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</si>
  <si>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</si>
  <si>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</si>
  <si>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</si>
  <si>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</si>
  <si>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</si>
  <si>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</si>
  <si>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</si>
  <si>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</si>
  <si>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</si>
  <si>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</si>
  <si>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</si>
  <si>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</si>
  <si>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</si>
  <si>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</si>
  <si>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</si>
  <si>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</si>
  <si>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</si>
  <si>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</si>
  <si>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</si>
  <si>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</si>
  <si>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</si>
  <si>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</si>
  <si>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</si>
  <si>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</si>
  <si>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</si>
  <si>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</si>
  <si>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</si>
  <si>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</si>
  <si>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</si>
  <si>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</si>
  <si>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</si>
  <si>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</si>
  <si>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</si>
  <si>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</si>
  <si>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</si>
  <si>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</si>
  <si>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</si>
  <si>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</si>
  <si>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</si>
  <si>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</si>
  <si>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</si>
  <si>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</si>
  <si>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</si>
  <si>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</si>
  <si>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</si>
  <si>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</si>
  <si>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</si>
  <si>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</si>
  <si>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</si>
  <si>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</si>
  <si>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</si>
  <si>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</si>
  <si>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</si>
  <si>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</si>
  <si>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</si>
  <si>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</si>
  <si>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</si>
  <si>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</si>
  <si>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</si>
  <si>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</si>
  <si>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</si>
  <si>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</si>
  <si>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</si>
  <si>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</si>
  <si>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</si>
  <si>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</si>
  <si>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</si>
  <si>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</si>
  <si>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</si>
  <si>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</si>
  <si>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</si>
  <si>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</si>
  <si>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</si>
  <si>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</si>
  <si>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</si>
  <si>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</si>
  <si>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</si>
  <si>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</si>
  <si>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</si>
  <si>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</si>
  <si>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</si>
  <si>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</si>
  <si>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</si>
  <si>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</si>
  <si>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</si>
  <si>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</si>
  <si>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</si>
  <si>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</si>
  <si>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</si>
  <si>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</si>
  <si>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</si>
  <si>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</si>
  <si>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</si>
  <si>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</si>
  <si>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</si>
  <si>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</si>
  <si>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</si>
  <si>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</si>
  <si>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</si>
  <si>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</si>
  <si>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</si>
  <si>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</si>
  <si>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</si>
  <si>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</si>
  <si>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</si>
  <si>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</si>
  <si>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</si>
  <si>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</si>
  <si>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</si>
  <si>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</si>
  <si>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</si>
  <si>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</si>
  <si>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</si>
  <si>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</si>
  <si>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</si>
  <si>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</si>
  <si>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</si>
  <si>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</si>
  <si>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</si>
  <si>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</si>
  <si>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</si>
  <si>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</si>
  <si>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</si>
  <si>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</si>
  <si>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</si>
  <si>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</si>
  <si>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</si>
  <si>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</si>
  <si>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</si>
  <si>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</si>
  <si>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</si>
  <si>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</si>
  <si>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</si>
  <si>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</si>
  <si>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</si>
  <si>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</si>
  <si>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</si>
  <si>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</si>
  <si>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</si>
  <si>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</si>
  <si>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</si>
  <si>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</si>
  <si>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</si>
  <si>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</si>
  <si>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</si>
  <si>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</si>
  <si>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</si>
  <si>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</si>
  <si>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</si>
  <si>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</si>
  <si>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</si>
  <si>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</si>
  <si>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</si>
  <si>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</si>
  <si>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</si>
  <si>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</si>
  <si>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</si>
  <si>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</si>
  <si>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</si>
  <si>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</si>
  <si>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</si>
  <si>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</si>
  <si>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</si>
  <si>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</si>
  <si>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</si>
  <si>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</si>
  <si>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</si>
  <si>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</si>
  <si>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</si>
  <si>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</si>
  <si>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</si>
  <si>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</si>
  <si>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</si>
  <si>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</si>
  <si>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</si>
  <si>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</si>
  <si>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</si>
  <si>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</si>
  <si>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</si>
  <si>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</si>
  <si>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</si>
  <si>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</si>
  <si>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</si>
  <si>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</si>
  <si>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</si>
  <si>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</si>
  <si>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</si>
  <si>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</si>
  <si>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</si>
  <si>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</si>
  <si>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</si>
  <si>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</si>
  <si>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</si>
  <si>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</si>
  <si>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</si>
  <si>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</si>
  <si>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</si>
  <si>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</si>
  <si>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</si>
  <si>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</si>
  <si>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</si>
  <si>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</si>
  <si>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</si>
  <si>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</si>
  <si>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</si>
  <si>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</si>
  <si>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</si>
  <si>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</si>
  <si>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</si>
  <si>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</si>
  <si>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</si>
  <si>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</si>
  <si>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</si>
  <si>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</si>
  <si>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</si>
  <si>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</si>
  <si>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</si>
  <si>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</si>
  <si>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</si>
  <si>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</si>
  <si>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</si>
  <si>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</si>
  <si>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</si>
  <si>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</si>
  <si>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</si>
  <si>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</si>
  <si>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</si>
  <si>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</si>
  <si>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</si>
  <si>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</si>
  <si>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</si>
  <si>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</si>
  <si>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</si>
  <si>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</si>
  <si>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</si>
  <si>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</si>
  <si>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</si>
  <si>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</si>
  <si>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</si>
  <si>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</si>
  <si>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</si>
  <si>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</si>
  <si>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</si>
  <si>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</si>
  <si>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</si>
  <si>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</si>
  <si>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</si>
  <si>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</si>
  <si>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</si>
  <si>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</si>
  <si>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</si>
  <si>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</si>
  <si>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</si>
  <si>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</si>
  <si>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</si>
  <si>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</si>
  <si>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</si>
  <si>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</si>
  <si>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</si>
  <si>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</si>
  <si>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</si>
  <si>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</si>
  <si>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</si>
  <si>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</si>
  <si>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</si>
  <si>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</si>
  <si>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</si>
  <si>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</si>
  <si>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</si>
  <si>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</si>
  <si>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</si>
  <si>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</si>
  <si>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</si>
  <si>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</si>
  <si>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</si>
  <si>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</si>
  <si>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</si>
  <si>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</si>
  <si>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</si>
  <si>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</si>
  <si>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</si>
  <si>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</si>
  <si>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</si>
  <si>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</si>
  <si>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</si>
  <si>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</si>
  <si>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</si>
  <si>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</si>
  <si>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</si>
  <si>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</si>
  <si>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</si>
  <si>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</si>
  <si>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</si>
  <si>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</si>
  <si>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</si>
  <si>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</si>
  <si>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</si>
  <si>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</si>
  <si>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</si>
  <si>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</si>
  <si>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</si>
  <si>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</si>
  <si>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</si>
  <si>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</si>
  <si>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</si>
  <si>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</si>
  <si>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</si>
  <si>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</si>
  <si>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</si>
  <si>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</si>
  <si>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</si>
  <si>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</si>
  <si>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</si>
  <si>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</si>
  <si>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</si>
  <si>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</si>
  <si>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</si>
  <si>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</si>
  <si>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</si>
  <si>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</si>
  <si>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</si>
  <si>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</si>
  <si>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</si>
  <si>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</si>
  <si>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</si>
  <si>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</si>
  <si>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</si>
  <si>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</si>
  <si>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</si>
  <si>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</si>
  <si>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</si>
  <si>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</si>
  <si>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</si>
  <si>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</si>
  <si>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</si>
  <si>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</si>
  <si>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</si>
  <si>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</si>
  <si>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</si>
  <si>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</si>
  <si>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</si>
  <si>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</si>
  <si>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</si>
  <si>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</si>
  <si>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</si>
  <si>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</si>
  <si>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</si>
  <si>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</si>
  <si>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</si>
  <si>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</si>
  <si>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</si>
  <si>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</si>
  <si>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</si>
  <si>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</si>
  <si>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</si>
  <si>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</si>
  <si>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</si>
  <si>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</si>
  <si>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</si>
  <si>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</si>
  <si>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</si>
  <si>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</si>
  <si>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</si>
  <si>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</si>
  <si>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</si>
  <si>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</si>
  <si>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</si>
  <si>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</si>
  <si>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</si>
  <si>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</si>
  <si>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</si>
  <si>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</si>
  <si>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</si>
  <si>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</si>
  <si>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</si>
  <si>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</si>
  <si>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</si>
  <si>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</si>
  <si>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</si>
  <si>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</si>
  <si>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</si>
  <si>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</si>
  <si>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</si>
  <si>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</si>
  <si>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</si>
  <si>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</si>
  <si>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</si>
  <si>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</si>
  <si>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</si>
  <si>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</si>
  <si>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</si>
  <si>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</si>
  <si>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</si>
  <si>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</si>
  <si>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</si>
  <si>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</si>
  <si>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</si>
  <si>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</si>
  <si>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</si>
  <si>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</si>
  <si>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</si>
  <si>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</si>
  <si>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</si>
  <si>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</si>
  <si>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</si>
  <si>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</si>
  <si>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</si>
  <si>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</si>
  <si>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</si>
  <si>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</si>
  <si>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</si>
  <si>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</si>
  <si>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</si>
  <si>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</si>
  <si>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</si>
  <si>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</si>
  <si>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</si>
  <si>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</si>
  <si>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</si>
  <si>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</si>
  <si>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</si>
  <si>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</si>
  <si>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</si>
  <si>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</si>
  <si>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</si>
  <si>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</si>
  <si>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</si>
  <si>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</si>
  <si>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</si>
  <si>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</si>
  <si>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</si>
  <si>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</si>
  <si>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</si>
  <si>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</si>
  <si>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</si>
  <si>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</si>
  <si>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</si>
  <si>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</si>
  <si>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</si>
  <si>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</si>
  <si>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</si>
  <si>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</si>
  <si>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</si>
  <si>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</si>
  <si>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</si>
  <si>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</si>
  <si>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</si>
  <si>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</si>
  <si>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</si>
  <si>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</si>
  <si>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</si>
  <si>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</si>
  <si>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</si>
  <si>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</si>
  <si>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</si>
  <si>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</si>
  <si>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</si>
  <si>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</si>
  <si>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</si>
  <si>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</si>
  <si>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</si>
  <si>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</si>
  <si>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</si>
  <si>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</si>
  <si>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</si>
  <si>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</si>
  <si>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</si>
  <si>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</si>
  <si>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</si>
  <si>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</si>
  <si>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</si>
  <si>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</si>
  <si>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</si>
  <si>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</si>
  <si>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</si>
  <si>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</si>
  <si>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</si>
  <si>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</si>
  <si>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</si>
  <si>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</si>
  <si>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</si>
  <si>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</si>
  <si>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</si>
  <si>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</si>
  <si>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</si>
  <si>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</si>
  <si>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</si>
  <si>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</si>
  <si>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</si>
  <si>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</si>
  <si>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</si>
  <si>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</si>
  <si>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</si>
  <si>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</si>
  <si>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</si>
  <si>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</si>
  <si>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</si>
  <si>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</si>
  <si>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</si>
  <si>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</si>
  <si>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</si>
  <si>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</si>
  <si>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</si>
  <si>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</si>
  <si>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</si>
  <si>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</si>
  <si>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</si>
  <si>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</si>
  <si>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</si>
  <si>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</si>
  <si>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</si>
  <si>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</si>
  <si>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</si>
  <si>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</si>
  <si>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</si>
  <si>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</si>
  <si>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</si>
  <si>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</si>
  <si>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</si>
  <si>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</si>
  <si>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</si>
  <si>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</si>
  <si>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</si>
  <si>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</si>
  <si>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</si>
  <si>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</si>
  <si>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</si>
  <si>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</si>
  <si>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</si>
  <si>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</si>
  <si>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</si>
  <si>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</si>
  <si>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</si>
  <si>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</si>
  <si>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</si>
  <si>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</si>
  <si>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</si>
  <si>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</si>
  <si>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</si>
  <si>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</si>
  <si>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</si>
  <si>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</si>
  <si>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</si>
  <si>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</si>
  <si>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</si>
  <si>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</si>
  <si>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</si>
  <si>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</si>
  <si>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</si>
  <si>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</si>
  <si>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</si>
  <si>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</si>
  <si>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</si>
  <si>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</si>
  <si>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</si>
  <si>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</si>
  <si>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</si>
  <si>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</si>
  <si>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</si>
  <si>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</si>
  <si>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</si>
  <si>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</si>
  <si>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</si>
  <si>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</si>
  <si>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</si>
  <si>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</si>
  <si>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</si>
  <si>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</si>
  <si>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</si>
  <si>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</si>
  <si>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</si>
  <si>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</si>
  <si>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</si>
  <si>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</si>
  <si>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</si>
  <si>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</si>
  <si>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</si>
  <si>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</si>
  <si>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</si>
  <si>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</si>
  <si>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</si>
  <si>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</si>
  <si>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</si>
  <si>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</si>
  <si>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</si>
  <si>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</si>
  <si>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</si>
  <si>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</si>
  <si>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</si>
  <si>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</si>
  <si>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</si>
  <si>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</si>
  <si>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</si>
  <si>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</si>
  <si>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</si>
  <si>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</si>
  <si>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</si>
  <si>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</si>
  <si>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</si>
  <si>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</si>
  <si>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</si>
  <si>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</si>
  <si>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</si>
  <si>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</si>
  <si>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</si>
  <si>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</si>
  <si>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</si>
  <si>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</si>
  <si>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</si>
  <si>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</si>
  <si>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</si>
  <si>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</si>
  <si>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</si>
  <si>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</si>
  <si>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</si>
  <si>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</si>
  <si>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</si>
  <si>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</si>
  <si>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</si>
  <si>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</si>
  <si>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</si>
  <si>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</si>
  <si>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</si>
  <si>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</si>
  <si>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</si>
  <si>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</si>
  <si>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</si>
  <si>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</si>
  <si>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</si>
  <si>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</si>
  <si>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</si>
  <si>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</si>
  <si>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</si>
  <si>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</si>
  <si>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</si>
  <si>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</si>
  <si>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</si>
  <si>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</si>
  <si>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</si>
  <si>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</si>
  <si>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</si>
  <si>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</si>
  <si>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</si>
  <si>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</si>
  <si>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</si>
  <si>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</si>
  <si>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</si>
  <si>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</si>
  <si>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</si>
  <si>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</si>
  <si>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</si>
  <si>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</si>
  <si>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</si>
  <si>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</si>
  <si>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</si>
  <si>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</si>
  <si>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</si>
  <si>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</si>
  <si>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</si>
  <si>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</si>
  <si>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</si>
  <si>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</si>
  <si>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</si>
  <si>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</si>
  <si>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</si>
  <si>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</si>
  <si>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</si>
  <si>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</si>
  <si>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</si>
  <si>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</si>
  <si>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</si>
  <si>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</si>
  <si>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</si>
  <si>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</si>
  <si>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</si>
  <si>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</si>
  <si>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</si>
  <si>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</si>
  <si>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</si>
  <si>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</si>
  <si>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</si>
  <si>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</si>
  <si>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</si>
  <si>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</si>
  <si>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</si>
  <si>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</si>
  <si>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</si>
  <si>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</si>
  <si>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</si>
  <si>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</si>
  <si>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</si>
  <si>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</si>
  <si>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</si>
  <si>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</si>
  <si>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</si>
  <si>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</si>
  <si>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</si>
  <si>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</si>
  <si>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</si>
  <si>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</si>
  <si>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</si>
  <si>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</si>
  <si>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</si>
  <si>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</si>
  <si>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</si>
  <si>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</si>
  <si>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</si>
  <si>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</si>
  <si>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</si>
  <si>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</si>
  <si>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</si>
  <si>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</si>
  <si>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</si>
  <si>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</si>
  <si>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</si>
  <si>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</si>
  <si>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</si>
  <si>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</si>
  <si>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</si>
  <si>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</si>
  <si>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</si>
  <si>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</si>
  <si>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</si>
  <si>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</si>
  <si>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</si>
  <si>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</si>
  <si>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</si>
  <si>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</si>
  <si>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</si>
  <si>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</si>
  <si>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</si>
  <si>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</si>
  <si>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</si>
  <si>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</si>
  <si>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</si>
  <si>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</si>
  <si>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</si>
  <si>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</si>
  <si>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</si>
  <si>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</si>
  <si>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</si>
  <si>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</si>
  <si>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</si>
  <si>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</si>
  <si>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</si>
  <si>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</si>
  <si>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</si>
  <si>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</si>
  <si>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</si>
  <si>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</si>
  <si>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</si>
  <si>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</si>
  <si>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</si>
  <si>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</si>
  <si>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</si>
  <si>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</si>
  <si>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</si>
  <si>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</si>
  <si>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</si>
  <si>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</si>
  <si>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</si>
  <si>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</si>
  <si>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</si>
  <si>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</si>
  <si>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</si>
  <si>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</si>
  <si>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</si>
  <si>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</si>
  <si>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</si>
  <si>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</si>
  <si>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</si>
  <si>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</si>
  <si>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</si>
  <si>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</si>
  <si>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</si>
  <si>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</si>
  <si>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</si>
  <si>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</si>
  <si>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</si>
  <si>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</si>
  <si>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</si>
  <si>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</si>
  <si>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</si>
  <si>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</si>
  <si>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</si>
  <si>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</si>
  <si>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</si>
  <si>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</si>
  <si>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</si>
  <si>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</si>
  <si>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</si>
  <si>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</si>
  <si>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</si>
  <si>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</si>
  <si>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</si>
  <si>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</si>
  <si>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</si>
  <si>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</si>
  <si>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</si>
  <si>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</si>
  <si>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</si>
  <si>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</si>
  <si>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</si>
  <si>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</si>
  <si>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</si>
  <si>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</si>
  <si>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</si>
  <si>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</si>
  <si>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</si>
  <si>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</si>
  <si>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</si>
  <si>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</si>
  <si>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</si>
  <si>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</si>
  <si>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</si>
  <si>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</si>
  <si>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</si>
  <si>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</si>
  <si>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</si>
  <si>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</si>
  <si>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</si>
  <si>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</si>
  <si>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</si>
  <si>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</si>
  <si>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</si>
  <si>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</si>
  <si>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</si>
  <si>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</si>
  <si>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</si>
  <si>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</si>
  <si>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</si>
  <si>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</si>
  <si>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</si>
  <si>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</si>
  <si>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</si>
  <si>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</si>
  <si>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</si>
  <si>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</si>
  <si>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</si>
  <si>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</si>
  <si>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</si>
  <si>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</si>
  <si>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</si>
  <si>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</si>
  <si>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</si>
  <si>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</si>
  <si>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</si>
  <si>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</si>
  <si>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</si>
  <si>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</si>
  <si>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</si>
  <si>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</si>
  <si>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</si>
  <si>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</si>
  <si>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</si>
  <si>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</si>
  <si>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</si>
  <si>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</si>
  <si>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</si>
  <si>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</si>
  <si>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</si>
  <si>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</si>
  <si>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</si>
  <si>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</si>
  <si>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</si>
  <si>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</si>
  <si>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</si>
  <si>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</si>
  <si>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</si>
  <si>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</si>
  <si>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</si>
  <si>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</si>
  <si>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</si>
  <si>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</si>
  <si>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</si>
  <si>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</si>
  <si>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</si>
  <si>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</si>
  <si>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</si>
  <si>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</si>
  <si>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</si>
  <si>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</si>
  <si>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</si>
  <si>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</si>
  <si>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</si>
  <si>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</si>
  <si>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</si>
  <si>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</si>
  <si>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</si>
  <si>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</si>
  <si>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</si>
  <si>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</si>
  <si>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</si>
  <si>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</si>
  <si>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</si>
  <si>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</si>
  <si>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</si>
  <si>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</si>
  <si>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</si>
  <si>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</si>
  <si>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</si>
  <si>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</si>
  <si>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</si>
  <si>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</si>
  <si>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</si>
  <si>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</si>
  <si>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</si>
  <si>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</si>
  <si>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</si>
  <si>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</si>
  <si>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</si>
  <si>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</si>
  <si>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</si>
  <si>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</si>
  <si>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</si>
  <si>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</si>
  <si>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</si>
  <si>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</si>
  <si>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</si>
  <si>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</si>
  <si>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</si>
  <si>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</si>
  <si>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</si>
  <si>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</si>
  <si>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</si>
  <si>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</si>
  <si>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</si>
  <si>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</si>
  <si>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</si>
  <si>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</si>
  <si>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</si>
  <si>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</si>
  <si>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</si>
  <si>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</si>
  <si>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</si>
  <si>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</si>
  <si>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</si>
  <si>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</si>
  <si>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</si>
  <si>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</si>
  <si>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</si>
  <si>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</si>
  <si>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</si>
  <si>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</si>
  <si>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</si>
  <si>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</si>
  <si>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</si>
  <si>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</si>
  <si>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</si>
  <si>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</si>
  <si>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</si>
  <si>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</si>
  <si>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</si>
  <si>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</si>
  <si>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</si>
  <si>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</si>
  <si>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</si>
  <si>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</si>
  <si>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</si>
  <si>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</si>
  <si>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</si>
  <si>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</si>
  <si>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</si>
  <si>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</si>
  <si>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</si>
  <si>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</si>
  <si>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</si>
  <si>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</si>
  <si>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</si>
  <si>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</si>
  <si>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</si>
  <si>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</si>
  <si>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</si>
  <si>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</si>
  <si>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</si>
  <si>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</si>
  <si>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</si>
  <si>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</si>
  <si>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</si>
  <si>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</si>
  <si>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</si>
  <si>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</si>
  <si>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</si>
  <si>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</si>
  <si>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</si>
  <si>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</si>
  <si>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</si>
  <si>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</si>
  <si>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</si>
  <si>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</si>
  <si>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</si>
  <si>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</si>
  <si>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</si>
  <si>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</si>
  <si>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</si>
  <si>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</si>
  <si>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</si>
  <si>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</si>
  <si>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</si>
  <si>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</si>
  <si>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</si>
  <si>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</si>
  <si>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</si>
  <si>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</si>
  <si>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</si>
  <si>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</si>
  <si>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</si>
  <si>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</si>
  <si>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</si>
  <si>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</si>
  <si>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</si>
  <si>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</si>
  <si>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</si>
  <si>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</si>
  <si>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</si>
  <si>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</si>
  <si>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</si>
  <si>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</si>
  <si>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</si>
  <si>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</si>
  <si>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</si>
  <si>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</si>
  <si>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</si>
  <si>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</si>
  <si>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</si>
  <si>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</si>
  <si>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</si>
  <si>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</si>
  <si>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</si>
  <si>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</si>
  <si>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</si>
  <si>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</si>
  <si>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</si>
  <si>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</si>
  <si>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</si>
  <si>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</si>
  <si>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</si>
  <si>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</si>
  <si>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</si>
  <si>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</si>
  <si>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</si>
  <si>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</si>
  <si>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</si>
  <si>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</si>
  <si>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</si>
  <si>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</si>
  <si>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</si>
  <si>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</si>
  <si>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</si>
  <si>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</si>
  <si>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</si>
  <si>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</si>
  <si>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</si>
  <si>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</si>
  <si>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</si>
  <si>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</si>
  <si>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</si>
  <si>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</si>
  <si>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</si>
  <si>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</si>
  <si>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</si>
  <si>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</si>
  <si>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</si>
  <si>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</si>
  <si>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</si>
  <si>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</si>
  <si>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</si>
  <si>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</si>
  <si>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</si>
  <si>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</si>
  <si>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</si>
  <si>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</si>
  <si>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</si>
  <si>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</si>
  <si>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</si>
  <si>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</si>
  <si>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</si>
  <si>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</si>
  <si>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</si>
  <si>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</si>
  <si>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</si>
  <si>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</si>
  <si>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</si>
  <si>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</si>
  <si>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</si>
  <si>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</si>
  <si>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</si>
  <si>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</si>
  <si>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</si>
  <si>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</si>
  <si>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</si>
  <si>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</si>
  <si>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</si>
  <si>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</si>
  <si>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</si>
  <si>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</si>
  <si>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</si>
  <si>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</si>
  <si>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</si>
  <si>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</si>
  <si>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</si>
  <si>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</si>
  <si>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</si>
  <si>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</si>
  <si>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</si>
  <si>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</si>
  <si>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</si>
  <si>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</si>
  <si>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</si>
  <si>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</si>
  <si>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</si>
  <si>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</si>
  <si>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</si>
  <si>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</si>
  <si>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</si>
  <si>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</si>
  <si>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</si>
  <si>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</si>
  <si>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</si>
  <si>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</si>
  <si>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</si>
  <si>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</si>
  <si>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</si>
  <si>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</si>
  <si>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</si>
  <si>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</si>
  <si>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</si>
  <si>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</si>
  <si>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</si>
  <si>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</si>
  <si>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</si>
  <si>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</si>
  <si>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</si>
  <si>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</si>
  <si>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</si>
  <si>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</si>
  <si>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</si>
  <si>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</si>
  <si>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</si>
  <si>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</si>
  <si>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</si>
  <si>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</si>
  <si>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</si>
  <si>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</si>
  <si>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</si>
  <si>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</si>
  <si>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</si>
  <si>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</si>
  <si>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</si>
  <si>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</si>
  <si>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</si>
  <si>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</si>
  <si>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</si>
  <si>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</si>
  <si>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</si>
  <si>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</si>
  <si>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</si>
  <si>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</si>
  <si>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</si>
  <si>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</si>
  <si>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</si>
  <si>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</si>
  <si>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</si>
  <si>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</si>
  <si>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</si>
  <si>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</si>
  <si>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</si>
  <si>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</si>
  <si>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</si>
  <si>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</si>
  <si>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</si>
  <si>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</si>
  <si>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</si>
  <si>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</si>
  <si>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</si>
  <si>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</si>
  <si>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</si>
  <si>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</si>
  <si>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</si>
  <si>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</si>
  <si>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</si>
  <si>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</si>
  <si>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</si>
  <si>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</si>
  <si>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</si>
  <si>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</si>
  <si>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</si>
  <si>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</si>
  <si>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</si>
  <si>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</si>
  <si>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</si>
  <si>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</si>
  <si>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</si>
  <si>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</si>
  <si>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</si>
  <si>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</si>
  <si>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</si>
  <si>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</si>
  <si>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</si>
  <si>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</si>
  <si>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</si>
  <si>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</si>
  <si>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</si>
  <si>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</si>
  <si>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</si>
  <si>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</si>
  <si>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</si>
  <si>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</si>
  <si>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</si>
  <si>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</si>
  <si>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</si>
  <si>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</si>
  <si>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</si>
  <si>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</si>
  <si>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</si>
  <si>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</si>
  <si>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</si>
  <si>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</si>
  <si>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</si>
  <si>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</si>
  <si>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</si>
  <si>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</si>
  <si>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</si>
  <si>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</si>
  <si>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</si>
  <si>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</si>
  <si>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</si>
  <si>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</si>
  <si>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</si>
  <si>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</si>
  <si>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</si>
  <si>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</si>
  <si>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</si>
  <si>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</si>
  <si>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</si>
  <si>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</si>
  <si>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</si>
  <si>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</si>
  <si>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</si>
  <si>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</si>
  <si>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</si>
  <si>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</si>
  <si>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</si>
  <si>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</si>
  <si>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</si>
  <si>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</si>
  <si>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</si>
  <si>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</si>
  <si>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</si>
  <si>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</si>
  <si>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</si>
  <si>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</si>
  <si>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</si>
  <si>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</si>
  <si>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</si>
  <si>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</si>
  <si>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</si>
  <si>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</si>
  <si>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</si>
  <si>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</si>
  <si>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</si>
  <si>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</si>
  <si>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</si>
  <si>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</si>
  <si>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</si>
  <si>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</si>
  <si>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</si>
  <si>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</si>
  <si>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</si>
  <si>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</si>
  <si>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</si>
  <si>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</si>
  <si>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</si>
  <si>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</si>
  <si>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</si>
  <si>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</si>
  <si>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</si>
  <si>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</si>
  <si>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</si>
  <si>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</si>
  <si>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</si>
  <si>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</si>
  <si>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</si>
  <si>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</si>
  <si>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</si>
  <si>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</si>
  <si>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</si>
  <si>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</si>
  <si>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</si>
  <si>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</si>
  <si>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</si>
  <si>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</si>
  <si>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</si>
  <si>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</si>
  <si>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</si>
  <si>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</si>
  <si>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</si>
  <si>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</si>
  <si>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</si>
  <si>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</si>
  <si>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</si>
  <si>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</si>
  <si>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</si>
  <si>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</si>
  <si>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</si>
  <si>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</si>
  <si>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</si>
  <si>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</si>
  <si>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</si>
  <si>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</si>
  <si>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</si>
  <si>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</si>
  <si>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</si>
  <si>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</si>
  <si>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</si>
  <si>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</si>
  <si>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</si>
  <si>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</si>
  <si>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</si>
  <si>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</si>
  <si>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</si>
  <si>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</si>
  <si>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</si>
  <si>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</si>
  <si>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</si>
  <si>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</si>
  <si>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</si>
  <si>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</si>
  <si>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</si>
  <si>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</si>
  <si>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</si>
  <si>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</si>
  <si>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</si>
  <si>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</si>
  <si>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</si>
  <si>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</si>
  <si>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</si>
  <si>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</si>
  <si>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</si>
  <si>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</si>
  <si>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</si>
  <si>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</si>
  <si>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</si>
  <si>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</si>
  <si>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</si>
  <si>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</si>
  <si>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</si>
  <si>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</si>
  <si>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</si>
  <si>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</si>
  <si>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</si>
  <si>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</si>
  <si>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</si>
  <si>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</si>
  <si>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</si>
  <si>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</si>
  <si>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</si>
  <si>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</si>
  <si>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</si>
  <si>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</si>
  <si>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</si>
  <si>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</si>
  <si>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</si>
  <si>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</si>
  <si>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</si>
  <si>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</si>
  <si>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</si>
  <si>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</si>
  <si>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</si>
  <si>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</si>
  <si>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</si>
  <si>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</si>
  <si>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</si>
  <si>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</si>
  <si>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</si>
  <si>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</si>
  <si>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</si>
  <si>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</si>
  <si>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</si>
  <si>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</si>
  <si>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</si>
  <si>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</si>
  <si>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</si>
  <si>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</si>
  <si>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</si>
  <si>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</si>
  <si>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</si>
  <si>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</si>
  <si>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</si>
  <si>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</si>
  <si>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</si>
  <si>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</si>
  <si>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</si>
  <si>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</si>
  <si>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</si>
  <si>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</si>
  <si>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</si>
  <si>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</si>
  <si>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</si>
  <si>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</si>
  <si>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</si>
  <si>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</si>
  <si>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</si>
  <si>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</si>
  <si>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</si>
  <si>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</si>
  <si>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</si>
  <si>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</si>
  <si>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</si>
  <si>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</si>
  <si>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</si>
  <si>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</si>
  <si>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</si>
  <si>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</si>
  <si>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</si>
  <si>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</si>
  <si>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</si>
  <si>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</si>
  <si>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</si>
  <si>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</si>
  <si>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</si>
  <si>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</si>
  <si>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</si>
  <si>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</si>
  <si>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</si>
  <si>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</si>
  <si>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</si>
  <si>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</si>
  <si>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</si>
  <si>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</si>
  <si>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</si>
  <si>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</si>
  <si>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</si>
  <si>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</si>
  <si>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</si>
  <si>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</si>
  <si>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</si>
  <si>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</si>
  <si>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</si>
  <si>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</si>
  <si>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</si>
  <si>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</si>
  <si>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</si>
  <si>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</si>
  <si>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</si>
  <si>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</si>
  <si>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</si>
  <si>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</si>
  <si>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</si>
  <si>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</si>
  <si>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</si>
  <si>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</si>
  <si>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</si>
  <si>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</si>
  <si>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</si>
  <si>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</si>
  <si>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</si>
  <si>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</si>
  <si>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</si>
  <si>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</si>
  <si>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</si>
  <si>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</si>
  <si>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</si>
  <si>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</si>
  <si>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</si>
  <si>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</si>
  <si>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</si>
  <si>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</si>
  <si>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</si>
  <si>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</si>
  <si>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</si>
  <si>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</si>
  <si>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</si>
  <si>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</si>
  <si>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</si>
  <si>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</si>
  <si>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</si>
  <si>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</si>
  <si>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</si>
  <si>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</si>
  <si>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</si>
  <si>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</si>
  <si>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</si>
  <si>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</si>
  <si>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</si>
  <si>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</si>
  <si>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</si>
  <si>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</si>
  <si>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</si>
  <si>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</si>
  <si>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</si>
  <si>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</si>
  <si>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</si>
  <si>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</si>
  <si>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</si>
  <si>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</si>
  <si>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</si>
  <si>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</si>
  <si>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</si>
  <si>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</si>
  <si>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</si>
  <si>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</si>
  <si>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</si>
  <si>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</si>
  <si>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</si>
  <si>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</si>
  <si>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</si>
  <si>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</si>
  <si>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</si>
  <si>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</si>
  <si>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</si>
  <si>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</si>
  <si>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</si>
  <si>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</si>
  <si>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</si>
  <si>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</si>
  <si>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</si>
  <si>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</si>
  <si>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</si>
  <si>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</si>
  <si>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</si>
  <si>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</si>
  <si>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</si>
  <si>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</si>
  <si>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</si>
  <si>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</si>
  <si>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</si>
  <si>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</si>
  <si>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</si>
  <si>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</si>
  <si>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</si>
  <si>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</si>
  <si>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</si>
  <si>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</si>
  <si>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</si>
  <si>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</si>
  <si>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</si>
  <si>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</si>
  <si>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</si>
  <si>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</si>
  <si>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</si>
  <si>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</si>
  <si>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</si>
  <si>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</si>
  <si>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</si>
  <si>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</si>
  <si>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</si>
  <si>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</si>
  <si>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</si>
  <si>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</si>
  <si>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</si>
  <si>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</si>
  <si>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</si>
  <si>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</si>
  <si>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</si>
  <si>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</si>
  <si>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</si>
  <si>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</si>
  <si>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</si>
  <si>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</si>
  <si>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</si>
  <si>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</si>
  <si>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</si>
  <si>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</si>
  <si>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</si>
  <si>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</si>
  <si>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</si>
  <si>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</si>
  <si>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</si>
  <si>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</si>
  <si>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</si>
  <si>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</si>
  <si>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</si>
  <si>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</si>
  <si>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</si>
  <si>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</si>
  <si>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</si>
  <si>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</si>
  <si>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</si>
  <si>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</si>
  <si>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</si>
  <si>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</si>
  <si>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</si>
  <si>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</si>
  <si>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</si>
  <si>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</si>
  <si>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</si>
  <si>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</si>
  <si>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</si>
  <si>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</si>
  <si>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</si>
  <si>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</si>
  <si>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</si>
  <si>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</si>
  <si>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</si>
  <si>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</si>
  <si>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</si>
  <si>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</si>
  <si>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</si>
  <si>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</si>
  <si>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</si>
  <si>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</si>
  <si>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</si>
  <si>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</si>
  <si>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</si>
  <si>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</si>
  <si>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</si>
  <si>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</si>
  <si>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</si>
  <si>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</si>
  <si>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</si>
  <si>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</si>
  <si>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</si>
  <si>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</si>
  <si>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</si>
  <si>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</si>
  <si>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</si>
  <si>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</si>
  <si>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</si>
  <si>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</si>
  <si>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</si>
  <si>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</si>
  <si>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</si>
  <si>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</si>
  <si>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</si>
  <si>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</si>
  <si>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</si>
  <si>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</si>
  <si>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</si>
  <si>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</si>
  <si>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</si>
  <si>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</si>
  <si>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</si>
  <si>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</si>
  <si>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</si>
  <si>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</si>
  <si>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</si>
  <si>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</si>
  <si>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</si>
  <si>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</si>
  <si>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</si>
  <si>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</si>
  <si>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</si>
  <si>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</si>
  <si>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</si>
  <si>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</si>
  <si>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</si>
  <si>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</si>
  <si>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</si>
  <si>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</si>
  <si>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</si>
  <si>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</si>
  <si>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</si>
  <si>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</si>
  <si>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</si>
  <si>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</si>
  <si>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</si>
  <si>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</si>
  <si>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</si>
  <si>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</si>
  <si>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</si>
  <si>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</si>
  <si>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</si>
  <si>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</si>
  <si>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</si>
  <si>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</si>
  <si>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</si>
  <si>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</si>
  <si>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</si>
  <si>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</si>
  <si>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</si>
  <si>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</si>
  <si>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</si>
  <si>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</si>
  <si>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</si>
  <si>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</si>
  <si>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</si>
  <si>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</si>
  <si>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</si>
  <si>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</si>
  <si>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</si>
  <si>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</si>
  <si>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</si>
  <si>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</si>
  <si>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</si>
  <si>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</si>
  <si>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</si>
  <si>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</si>
  <si>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</si>
  <si>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</si>
  <si>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</si>
  <si>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</si>
  <si>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</si>
  <si>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</si>
  <si>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</si>
  <si>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</si>
  <si>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</si>
  <si>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</si>
  <si>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</si>
  <si>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</si>
  <si>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</si>
  <si>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</si>
  <si>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</si>
  <si>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</si>
  <si>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</si>
  <si>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</si>
  <si>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</si>
  <si>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</si>
  <si>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</si>
  <si>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</si>
  <si>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</si>
  <si>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</si>
  <si>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</si>
  <si>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</si>
  <si>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</si>
  <si>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</si>
  <si>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</si>
  <si>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</si>
  <si>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</si>
  <si>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</si>
  <si>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</si>
  <si>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</si>
  <si>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</si>
  <si>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</si>
  <si>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</si>
  <si>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</si>
  <si>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</si>
  <si>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</si>
  <si>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</si>
  <si>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</si>
  <si>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</si>
  <si>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</si>
  <si>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</si>
  <si>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</si>
  <si>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</si>
  <si>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</si>
  <si>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</si>
  <si>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</si>
  <si>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</si>
  <si>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</si>
  <si>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</si>
  <si>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</si>
  <si>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</si>
  <si>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</si>
  <si>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</si>
  <si>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</si>
  <si>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</si>
  <si>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</si>
  <si>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</si>
  <si>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</si>
  <si>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</si>
  <si>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</si>
  <si>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</si>
  <si>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</si>
  <si>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</si>
  <si>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</si>
  <si>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</si>
  <si>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</si>
  <si>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</si>
  <si>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</si>
  <si>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</si>
  <si>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</si>
  <si>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</si>
  <si>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</si>
  <si>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</si>
  <si>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</si>
  <si>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</si>
  <si>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</si>
  <si>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</si>
  <si>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</si>
  <si>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</si>
  <si>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</si>
  <si>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</si>
  <si>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</si>
  <si>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</si>
  <si>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</si>
  <si>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</si>
  <si>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</si>
  <si>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</si>
  <si>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</si>
  <si>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</si>
  <si>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</si>
  <si>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</si>
  <si>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</si>
  <si>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</si>
  <si>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</si>
  <si>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</si>
  <si>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</si>
  <si>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</si>
  <si>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</si>
  <si>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</si>
  <si>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</si>
  <si>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</si>
  <si>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</si>
  <si>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</si>
  <si>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</si>
  <si>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</si>
  <si>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</si>
  <si>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</si>
  <si>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</si>
  <si>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</si>
  <si>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</si>
  <si>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</si>
  <si>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</si>
  <si>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</si>
  <si>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</si>
  <si>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</si>
  <si>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</si>
  <si>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</si>
  <si>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</si>
  <si>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</si>
  <si>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</si>
  <si>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</si>
  <si>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</si>
  <si>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</si>
  <si>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</si>
  <si>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</si>
  <si>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</si>
  <si>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</si>
  <si>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</si>
  <si>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</si>
  <si>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</si>
  <si>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</si>
  <si>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</si>
  <si>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</si>
  <si>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</si>
  <si>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</si>
  <si>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</si>
  <si>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</si>
  <si>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</si>
  <si>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</si>
  <si>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</si>
  <si>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</si>
  <si>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</si>
  <si>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</si>
  <si>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</si>
  <si>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</si>
  <si>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</si>
  <si>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</si>
  <si>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</si>
  <si>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</si>
  <si>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</si>
  <si>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</si>
  <si>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</si>
  <si>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</si>
  <si>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</si>
  <si>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</si>
  <si>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</si>
  <si>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</si>
  <si>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</si>
  <si>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</si>
  <si>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</si>
  <si>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</si>
  <si>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</si>
  <si>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</si>
  <si>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</si>
  <si>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</si>
  <si>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</si>
  <si>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</si>
  <si>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</si>
  <si>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</si>
  <si>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</si>
  <si>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</si>
  <si>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</si>
  <si>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</si>
  <si>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</si>
  <si>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</si>
  <si>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</si>
  <si>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</si>
  <si>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</si>
  <si>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</si>
  <si>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</si>
  <si>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</si>
  <si>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</si>
  <si>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</si>
  <si>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</si>
  <si>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</si>
  <si>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</si>
  <si>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</si>
  <si>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</si>
  <si>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</si>
  <si>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</si>
  <si>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</si>
  <si>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</si>
  <si>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</si>
  <si>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</si>
  <si>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</si>
  <si>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</si>
  <si>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</si>
  <si>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</si>
  <si>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</si>
  <si>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</si>
  <si>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</si>
  <si>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</si>
  <si>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</si>
  <si>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</si>
  <si>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</si>
  <si>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</si>
  <si>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</si>
  <si>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</si>
  <si>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</si>
  <si>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</si>
  <si>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</si>
  <si>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</si>
  <si>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</si>
  <si>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</si>
  <si>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</si>
  <si>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</si>
  <si>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</si>
  <si>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</si>
  <si>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</si>
  <si>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</si>
  <si>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</si>
  <si>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</si>
  <si>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</si>
  <si>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</si>
  <si>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</si>
  <si>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</si>
  <si>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</si>
  <si>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</si>
  <si>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</si>
  <si>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</si>
  <si>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</si>
  <si>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</si>
  <si>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</si>
  <si>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</si>
  <si>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</si>
  <si>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</si>
  <si>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</si>
  <si>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</si>
  <si>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</si>
  <si>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</si>
  <si>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</si>
  <si>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</si>
  <si>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</si>
  <si>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</si>
  <si>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</si>
  <si>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</si>
  <si>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</si>
  <si>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</si>
  <si>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</si>
  <si>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</si>
  <si>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</si>
  <si>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</si>
  <si>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</si>
  <si>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</si>
  <si>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</si>
  <si>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</si>
  <si>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</si>
  <si>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</si>
  <si>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</si>
  <si>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</si>
  <si>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</si>
  <si>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</si>
  <si>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</si>
  <si>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</si>
  <si>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</si>
  <si>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</si>
  <si>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</si>
  <si>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</si>
  <si>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</si>
  <si>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</si>
  <si>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</si>
  <si>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</si>
  <si>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</si>
  <si>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</si>
  <si>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</si>
  <si>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</si>
  <si>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</si>
  <si>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</si>
  <si>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</si>
  <si>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</si>
  <si>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</si>
  <si>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</si>
  <si>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</si>
  <si>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</si>
  <si>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</si>
  <si>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</si>
  <si>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</si>
  <si>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</si>
  <si>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</si>
  <si>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</si>
  <si>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</si>
  <si>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</si>
  <si>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</si>
  <si>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</si>
  <si>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</si>
  <si>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</si>
  <si>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</si>
  <si>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</si>
  <si>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</si>
  <si>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</si>
  <si>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</si>
  <si>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</si>
  <si>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</si>
  <si>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</si>
  <si>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</si>
  <si>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</si>
  <si>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</si>
  <si>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</si>
  <si>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</si>
  <si>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</si>
  <si>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</si>
  <si>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</si>
  <si>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</si>
  <si>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</si>
  <si>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</si>
  <si>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</si>
  <si>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</si>
  <si>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</si>
  <si>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</si>
  <si>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</si>
  <si>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</si>
  <si>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</si>
  <si>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</si>
  <si>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</si>
  <si>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</si>
  <si>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</si>
  <si>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</si>
  <si>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</si>
  <si>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</si>
  <si>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</si>
  <si>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</si>
  <si>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</si>
  <si>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</si>
  <si>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</si>
  <si>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</si>
  <si>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</si>
  <si>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</si>
  <si>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</si>
  <si>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</si>
  <si>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</si>
  <si>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</si>
  <si>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</si>
  <si>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</si>
  <si>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</si>
  <si>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</si>
  <si>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</si>
  <si>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</si>
  <si>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</si>
  <si>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</si>
  <si>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</si>
  <si>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</si>
  <si>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</si>
  <si>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</si>
  <si>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</si>
  <si>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</si>
  <si>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</si>
  <si>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</si>
  <si>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</si>
  <si>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</si>
  <si>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</si>
  <si>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</si>
  <si>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</si>
  <si>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</si>
  <si>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</si>
  <si>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</si>
  <si>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</si>
  <si>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</si>
  <si>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</si>
  <si>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</si>
  <si>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</si>
  <si>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</si>
  <si>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</si>
  <si>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</si>
  <si>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</si>
  <si>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</si>
  <si>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</si>
  <si>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</si>
  <si>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</si>
  <si>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</si>
  <si>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</si>
  <si>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</si>
  <si>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</si>
  <si>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</si>
  <si>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</si>
  <si>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</si>
  <si>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</si>
  <si>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</si>
  <si>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</si>
  <si>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</si>
  <si>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</si>
  <si>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</si>
  <si>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</si>
  <si>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</si>
  <si>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</si>
  <si>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</si>
  <si>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</si>
  <si>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</si>
  <si>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</si>
  <si>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</si>
  <si>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</si>
  <si>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</si>
  <si>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</si>
  <si>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</si>
  <si>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</si>
  <si>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</si>
  <si>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</si>
  <si>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</si>
  <si>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</si>
  <si>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</si>
  <si>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</si>
  <si>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</si>
  <si>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</si>
  <si>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</si>
  <si>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</si>
  <si>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</si>
  <si>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</si>
  <si>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</si>
  <si>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</si>
  <si>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</si>
  <si>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</si>
  <si>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</si>
  <si>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</si>
  <si>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</si>
  <si>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</si>
  <si>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</si>
  <si>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</si>
  <si>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</si>
  <si>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</si>
  <si>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</si>
  <si>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</si>
  <si>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</si>
  <si>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</si>
  <si>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</si>
  <si>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</si>
  <si>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</si>
  <si>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</si>
  <si>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</si>
  <si>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</si>
  <si>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</si>
  <si>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</si>
  <si>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</si>
  <si>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</si>
  <si>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</si>
  <si>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</si>
  <si>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</si>
  <si>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</si>
  <si>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</si>
  <si>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</si>
  <si>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</si>
  <si>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</si>
  <si>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</si>
  <si>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</si>
  <si>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</si>
  <si>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</si>
  <si>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</si>
  <si>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</si>
  <si>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</si>
  <si>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</si>
  <si>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</si>
  <si>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</si>
  <si>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</si>
  <si>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</si>
  <si>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</si>
  <si>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</si>
  <si>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</si>
  <si>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</si>
  <si>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</si>
  <si>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</si>
  <si>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</si>
  <si>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</si>
  <si>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</si>
  <si>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</si>
  <si>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</si>
  <si>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</si>
  <si>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</si>
  <si>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</si>
  <si>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</si>
  <si>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</si>
  <si>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</si>
  <si>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</si>
  <si>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</si>
  <si>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</si>
  <si>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</si>
  <si>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</si>
  <si>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</si>
  <si>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</si>
  <si>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</si>
  <si>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</si>
  <si>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</si>
  <si>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</si>
  <si>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</si>
  <si>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</si>
  <si>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</si>
  <si>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</si>
  <si>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</si>
  <si>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</si>
  <si>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</si>
  <si>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</si>
  <si>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</si>
  <si>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</si>
  <si>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</si>
  <si>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</si>
  <si>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</si>
  <si>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</si>
  <si>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</si>
  <si>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</si>
  <si>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</si>
  <si>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</si>
  <si>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</si>
  <si>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</si>
  <si>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</si>
  <si>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</si>
  <si>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</si>
  <si>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</si>
  <si>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</si>
  <si>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</si>
  <si>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</si>
  <si>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</si>
  <si>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</si>
  <si>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</si>
  <si>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</si>
  <si>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</si>
  <si>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</si>
  <si>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</si>
  <si>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</si>
  <si>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</si>
  <si>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</si>
  <si>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</si>
  <si>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</si>
  <si>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</si>
  <si>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</si>
  <si>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</si>
  <si>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</si>
  <si>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</si>
  <si>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</si>
  <si>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</si>
  <si>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</si>
  <si>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</si>
  <si>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</si>
  <si>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</si>
  <si>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</si>
  <si>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</si>
  <si>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</si>
  <si>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</si>
  <si>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</si>
  <si>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</si>
  <si>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</si>
  <si>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</si>
  <si>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</si>
  <si>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</si>
  <si>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</si>
  <si>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</si>
  <si>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</si>
  <si>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</si>
  <si>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</si>
  <si>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</si>
  <si>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</si>
  <si>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</si>
  <si>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</si>
  <si>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</si>
  <si>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</si>
  <si>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</si>
  <si>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</si>
  <si>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</si>
  <si>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</si>
  <si>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</si>
  <si>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</si>
  <si>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</si>
  <si>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</si>
  <si>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</si>
  <si>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</si>
  <si>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</si>
  <si>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</si>
  <si>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</si>
  <si>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</si>
  <si>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</si>
  <si>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</si>
  <si>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</si>
  <si>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</si>
  <si>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</si>
  <si>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</si>
  <si>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</si>
  <si>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</si>
  <si>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</si>
  <si>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</si>
  <si>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</si>
  <si>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</si>
  <si>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</si>
  <si>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</si>
  <si>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</si>
  <si>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</si>
  <si>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</si>
  <si>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</si>
  <si>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</si>
  <si>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</si>
  <si>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</si>
  <si>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</si>
  <si>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</si>
  <si>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</si>
  <si>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</si>
  <si>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</si>
  <si>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</si>
  <si>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</si>
  <si>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</si>
  <si>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</si>
  <si>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</si>
  <si>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</si>
  <si>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</si>
  <si>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</si>
  <si>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</si>
  <si>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</si>
  <si>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</si>
  <si>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</si>
  <si>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</si>
  <si>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</si>
  <si>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</si>
  <si>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</si>
  <si>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</si>
  <si>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</si>
  <si>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</si>
  <si>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</si>
  <si>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</si>
  <si>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</si>
  <si>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</si>
  <si>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</si>
  <si>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</si>
  <si>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</si>
  <si>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</si>
  <si>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</si>
  <si>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</si>
  <si>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</si>
  <si>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</si>
  <si>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</si>
  <si>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</si>
  <si>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</si>
  <si>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</si>
  <si>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</si>
  <si>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</si>
  <si>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</si>
  <si>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</si>
  <si>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</si>
  <si>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</si>
  <si>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</si>
  <si>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</si>
  <si>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</si>
  <si>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</si>
  <si>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</si>
  <si>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</si>
  <si>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</si>
  <si>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</si>
  <si>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</si>
  <si>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</si>
  <si>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</si>
  <si>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</si>
  <si>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</si>
  <si>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</si>
  <si>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</si>
  <si>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</si>
  <si>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</si>
  <si>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</si>
  <si>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</si>
  <si>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</si>
  <si>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</si>
  <si>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</si>
  <si>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</si>
  <si>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</si>
  <si>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</si>
  <si>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</si>
  <si>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</si>
  <si>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</si>
  <si>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</si>
  <si>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</si>
  <si>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</si>
  <si>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</si>
  <si>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</si>
  <si>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</si>
  <si>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</si>
  <si>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</si>
  <si>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</si>
  <si>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</si>
  <si>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</si>
  <si>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</si>
  <si>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</si>
  <si>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</si>
  <si>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</si>
  <si>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</si>
  <si>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</si>
  <si>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</si>
  <si>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</si>
  <si>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</si>
  <si>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</si>
  <si>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</si>
  <si>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</si>
  <si>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</si>
  <si>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</si>
  <si>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</si>
  <si>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</si>
  <si>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</si>
  <si>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</si>
  <si>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</si>
  <si>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</si>
  <si>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</si>
  <si>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</si>
  <si>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</si>
  <si>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</si>
  <si>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</si>
  <si>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</si>
  <si>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</si>
  <si>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</si>
  <si>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</si>
  <si>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</si>
  <si>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</si>
  <si>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</si>
  <si>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</si>
  <si>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</si>
  <si>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</si>
  <si>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</si>
  <si>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</si>
  <si>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</si>
  <si>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</si>
  <si>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</si>
  <si>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</si>
  <si>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</si>
  <si>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</si>
  <si>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</si>
  <si>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</si>
  <si>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</si>
  <si>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</si>
  <si>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</si>
  <si>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</si>
  <si>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</si>
  <si>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</si>
  <si>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</si>
  <si>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</si>
  <si>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</si>
  <si>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</si>
  <si>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</si>
  <si>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</si>
  <si>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</si>
  <si>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</si>
  <si>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</si>
  <si>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</si>
  <si>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</si>
  <si>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</si>
  <si>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</si>
  <si>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</si>
  <si>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</si>
  <si>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</si>
  <si>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</si>
  <si>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</si>
  <si>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</si>
  <si>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</si>
  <si>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</si>
  <si>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</si>
  <si>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</si>
  <si>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</si>
  <si>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</si>
  <si>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</si>
  <si>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</si>
  <si>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</si>
  <si>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</si>
  <si>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</si>
  <si>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</si>
  <si>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</si>
  <si>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</si>
  <si>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</si>
  <si>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</si>
  <si>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</si>
  <si>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</si>
  <si>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</si>
  <si>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</si>
  <si>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</si>
  <si>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</si>
  <si>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</si>
  <si>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</si>
  <si>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</si>
  <si>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</si>
  <si>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</si>
  <si>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</si>
  <si>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</si>
  <si>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</si>
  <si>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</si>
  <si>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</si>
  <si>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</si>
  <si>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</si>
  <si>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</si>
  <si>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</si>
  <si>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</si>
  <si>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</si>
  <si>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</si>
  <si>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</si>
  <si>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</si>
  <si>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</si>
  <si>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</si>
  <si>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</si>
  <si>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</si>
  <si>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</si>
  <si>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</si>
  <si>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</si>
  <si>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</si>
  <si>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</si>
  <si>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</si>
  <si>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</si>
  <si>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</si>
  <si>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</si>
  <si>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</si>
  <si>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</si>
  <si>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</si>
  <si>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</si>
  <si>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</si>
  <si>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</si>
  <si>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</si>
  <si>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</si>
  <si>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</si>
  <si>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</si>
  <si>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</si>
  <si>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</si>
  <si>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</si>
  <si>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</si>
  <si>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</si>
  <si>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</si>
  <si>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</si>
  <si>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</si>
  <si>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</si>
  <si>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</si>
  <si>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</si>
  <si>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</si>
  <si>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</si>
  <si>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</si>
  <si>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</si>
  <si>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</si>
  <si>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</si>
  <si>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</si>
  <si>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</si>
  <si>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</si>
  <si>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</si>
  <si>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</si>
  <si>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</si>
  <si>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</si>
  <si>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</si>
  <si>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</si>
  <si>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</si>
  <si>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</si>
  <si>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</si>
  <si>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</si>
  <si>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</si>
  <si>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</si>
  <si>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</si>
  <si>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</si>
  <si>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</si>
  <si>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</si>
  <si>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</si>
  <si>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</si>
  <si>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</si>
  <si>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</si>
  <si>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</si>
  <si>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</si>
  <si>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</si>
  <si>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</si>
  <si>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</si>
  <si>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</si>
  <si>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</si>
  <si>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</si>
  <si>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</si>
  <si>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</si>
  <si>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</si>
  <si>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</si>
  <si>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</si>
  <si>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</si>
  <si>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</si>
  <si>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</si>
  <si>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</si>
  <si>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</si>
  <si>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</si>
  <si>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</si>
  <si>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</si>
  <si>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</si>
  <si>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</si>
  <si>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</si>
  <si>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</si>
  <si>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</si>
  <si>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</si>
  <si>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</si>
  <si>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</si>
  <si>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</si>
  <si>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</si>
  <si>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</si>
  <si>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</si>
  <si>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</si>
  <si>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</si>
  <si>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</si>
  <si>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</si>
  <si>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</si>
  <si>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</si>
  <si>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</si>
  <si>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</si>
  <si>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</si>
  <si>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</si>
  <si>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</si>
  <si>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</si>
  <si>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</si>
  <si>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</si>
  <si>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</si>
  <si>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</si>
  <si>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</si>
  <si>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</si>
  <si>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</si>
  <si>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</si>
  <si>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</si>
  <si>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</si>
  <si>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</si>
  <si>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</si>
  <si>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</si>
  <si>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</si>
  <si>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</si>
  <si>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</si>
  <si>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</si>
  <si>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</si>
  <si>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</si>
  <si>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</si>
  <si>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</si>
  <si>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</si>
  <si>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</si>
  <si>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</si>
  <si>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</si>
  <si>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</si>
  <si>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</si>
  <si>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</si>
  <si>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</si>
  <si>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</si>
  <si>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</si>
  <si>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</si>
  <si>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</si>
  <si>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</si>
  <si>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</si>
  <si>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</si>
  <si>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</si>
  <si>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</si>
  <si>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</si>
  <si>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</si>
  <si>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</si>
  <si>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</si>
  <si>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</si>
  <si>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</si>
  <si>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</si>
  <si>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</si>
  <si>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</si>
  <si>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</si>
  <si>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</si>
  <si>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</si>
  <si>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</si>
  <si>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</si>
  <si>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</si>
  <si>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</si>
  <si>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</si>
  <si>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</si>
  <si>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</si>
  <si>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</si>
  <si>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</si>
  <si>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</si>
  <si>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</si>
  <si>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</si>
  <si>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</si>
  <si>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</si>
  <si>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</si>
  <si>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</si>
  <si>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</si>
  <si>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</si>
  <si>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</si>
  <si>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</si>
  <si>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</si>
  <si>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</si>
  <si>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</si>
  <si>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</si>
  <si>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</si>
  <si>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</si>
  <si>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</si>
  <si>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</si>
  <si>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</si>
  <si>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</si>
  <si>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</si>
  <si>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</si>
  <si>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</si>
  <si>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</si>
  <si>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</si>
  <si>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</si>
  <si>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</si>
  <si>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</si>
  <si>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</si>
  <si>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</si>
  <si>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</si>
  <si>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</si>
  <si>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</si>
  <si>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</si>
  <si>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</si>
  <si>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</si>
  <si>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</si>
  <si>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</si>
  <si>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</si>
  <si>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</si>
  <si>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</si>
  <si>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</si>
  <si>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</si>
  <si>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</si>
  <si>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</si>
  <si>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</si>
  <si>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</si>
  <si>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</si>
  <si>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</si>
  <si>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</si>
  <si>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</si>
  <si>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</si>
  <si>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</si>
  <si>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</si>
  <si>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</si>
  <si>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</si>
  <si>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</si>
  <si>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</si>
  <si>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</si>
  <si>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</si>
  <si>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</si>
  <si>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</si>
  <si>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</si>
  <si>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</si>
  <si>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</si>
  <si>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</si>
  <si>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</si>
  <si>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</si>
  <si>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</si>
  <si>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</si>
  <si>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</si>
  <si>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</si>
  <si>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</si>
  <si>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</si>
  <si>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</si>
  <si>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</si>
  <si>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</si>
  <si>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</si>
  <si>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</si>
  <si>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</si>
  <si>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</si>
  <si>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</si>
  <si>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</si>
  <si>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</si>
  <si>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</si>
  <si>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</si>
  <si>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</si>
  <si>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</si>
  <si>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</si>
  <si>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</si>
  <si>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</si>
  <si>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</si>
  <si>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</si>
  <si>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</si>
  <si>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</si>
  <si>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</si>
  <si>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</si>
  <si>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</si>
  <si>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</si>
  <si>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</si>
  <si>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</si>
  <si>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</si>
  <si>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</si>
  <si>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</si>
  <si>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</si>
  <si>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</si>
  <si>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</si>
  <si>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</si>
  <si>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</si>
  <si>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</si>
  <si>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</si>
  <si>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</si>
  <si>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</si>
  <si>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</si>
  <si>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</si>
  <si>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</si>
  <si>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</si>
  <si>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</si>
  <si>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</si>
  <si>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</si>
  <si>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</si>
  <si>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</si>
  <si>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</si>
  <si>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</si>
  <si>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</si>
  <si>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</si>
  <si>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</si>
  <si>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</si>
  <si>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</si>
  <si>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</si>
  <si>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</si>
  <si>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</si>
  <si>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</si>
  <si>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</si>
  <si>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</si>
  <si>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</si>
  <si>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</si>
  <si>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</si>
  <si>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</si>
  <si>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</si>
  <si>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</si>
  <si>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</si>
  <si>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</si>
  <si>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</si>
  <si>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</si>
  <si>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</si>
  <si>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</si>
  <si>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</si>
  <si>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</si>
  <si>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</si>
  <si>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</si>
  <si>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</si>
  <si>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</si>
  <si>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</si>
  <si>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</si>
  <si>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</si>
  <si>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</si>
  <si>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</si>
  <si>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</si>
  <si>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</si>
  <si>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</si>
  <si>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</si>
  <si>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</si>
  <si>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</si>
  <si>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</si>
  <si>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</si>
  <si>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</si>
  <si>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</si>
  <si>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</si>
  <si>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</si>
  <si>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</si>
  <si>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</si>
  <si>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</si>
  <si>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</si>
  <si>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</si>
  <si>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</si>
  <si>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</si>
  <si>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</si>
  <si>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</si>
  <si>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</si>
  <si>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</si>
  <si>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</si>
  <si>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</si>
  <si>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</si>
  <si>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</si>
  <si>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</si>
  <si>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</si>
  <si>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</si>
  <si>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</si>
  <si>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</si>
  <si>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</si>
  <si>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</si>
  <si>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</si>
  <si>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</si>
  <si>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</si>
  <si>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</si>
  <si>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</si>
  <si>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</si>
  <si>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</si>
  <si>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</si>
  <si>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</si>
  <si>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</si>
  <si>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</si>
  <si>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</si>
  <si>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</si>
  <si>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</si>
  <si>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</si>
  <si>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</si>
  <si>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</si>
  <si>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</si>
  <si>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</si>
  <si>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</si>
  <si>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</si>
  <si>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</si>
  <si>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</si>
  <si>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</si>
  <si>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</si>
  <si>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</si>
  <si>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</si>
  <si>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</si>
  <si>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</si>
  <si>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</si>
  <si>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</si>
  <si>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</si>
  <si>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</si>
  <si>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</si>
  <si>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</si>
  <si>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</si>
  <si>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</si>
  <si>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</si>
  <si>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</si>
  <si>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</si>
  <si>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</si>
  <si>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</si>
  <si>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</si>
  <si>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</si>
  <si>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</si>
  <si>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</si>
  <si>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</si>
  <si>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</si>
  <si>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</si>
  <si>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</si>
  <si>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</si>
  <si>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</si>
  <si>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</si>
  <si>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</si>
  <si>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</si>
  <si>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</si>
  <si>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</si>
  <si>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</si>
  <si>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</si>
  <si>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</si>
  <si>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</si>
  <si>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</si>
  <si>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</si>
  <si>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</si>
  <si>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</si>
  <si>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</si>
  <si>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</si>
  <si>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</si>
  <si>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</si>
  <si>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</si>
  <si>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</si>
  <si>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</si>
  <si>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</si>
  <si>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</si>
  <si>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</si>
  <si>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</si>
  <si>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</si>
  <si>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</si>
  <si>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</si>
  <si>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</si>
  <si>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</si>
  <si>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</si>
  <si>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</si>
  <si>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</si>
  <si>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</si>
  <si>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</si>
  <si>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</si>
  <si>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</si>
  <si>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</si>
  <si>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</si>
  <si>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</si>
  <si>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</si>
  <si>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</si>
  <si>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</si>
  <si>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</si>
  <si>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</si>
  <si>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</si>
  <si>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</si>
  <si>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</si>
  <si>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</si>
  <si>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</si>
  <si>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</si>
  <si>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</si>
  <si>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</si>
  <si>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</si>
  <si>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</si>
  <si>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</si>
  <si>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</si>
  <si>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</si>
  <si>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</si>
  <si>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</si>
  <si>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</si>
  <si>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</si>
  <si>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</si>
  <si>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</si>
  <si>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</si>
  <si>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</si>
  <si>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</si>
  <si>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</si>
  <si>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</si>
  <si>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</si>
  <si>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</si>
  <si>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</si>
  <si>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</si>
  <si>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</si>
  <si>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</si>
  <si>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</si>
  <si>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</si>
  <si>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</si>
  <si>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</si>
  <si>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</si>
  <si>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</si>
  <si>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</si>
  <si>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</si>
  <si>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</si>
  <si>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</si>
  <si>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</si>
  <si>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</si>
  <si>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</si>
  <si>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</si>
  <si>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</si>
  <si>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</si>
  <si>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</si>
  <si>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</si>
  <si>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</si>
  <si>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</si>
  <si>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</si>
  <si>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</si>
  <si>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</si>
  <si>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</si>
  <si>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</si>
  <si>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</si>
  <si>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</si>
  <si>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</si>
  <si>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</si>
  <si>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</si>
  <si>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</si>
  <si>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</si>
  <si>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</si>
  <si>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</si>
  <si>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</si>
  <si>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</si>
  <si>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</si>
  <si>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</si>
  <si>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</si>
  <si>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</si>
  <si>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</si>
  <si>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</si>
  <si>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</si>
  <si>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</si>
  <si>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</si>
  <si>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</si>
  <si>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</si>
  <si>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</si>
  <si>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</si>
  <si>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</si>
  <si>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</si>
  <si>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</si>
  <si>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</si>
  <si>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</si>
  <si>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</si>
  <si>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</si>
  <si>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</si>
  <si>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</si>
  <si>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</si>
  <si>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</si>
  <si>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</si>
  <si>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</si>
  <si>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</si>
  <si>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</si>
  <si>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</si>
  <si>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</si>
  <si>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</si>
  <si>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</si>
  <si>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</si>
  <si>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</si>
  <si>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</si>
  <si>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</si>
  <si>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</si>
  <si>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</si>
  <si>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</si>
  <si>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</si>
  <si>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</si>
  <si>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</si>
  <si>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</si>
  <si>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</si>
  <si>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</si>
  <si>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</si>
  <si>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</si>
  <si>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</si>
  <si>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</si>
  <si>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</si>
  <si>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</si>
  <si>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</si>
  <si>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</si>
  <si>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</si>
  <si>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</si>
  <si>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</si>
  <si>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</si>
  <si>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</si>
  <si>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</si>
  <si>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</si>
  <si>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</si>
  <si>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</si>
  <si>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</si>
  <si>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</si>
  <si>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</si>
  <si>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</si>
  <si>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</si>
  <si>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</si>
  <si>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</si>
  <si>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</si>
  <si>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</si>
  <si>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</si>
  <si>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</si>
  <si>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</si>
  <si>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</si>
  <si>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</si>
  <si>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</si>
  <si>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</si>
  <si>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</si>
  <si>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</si>
  <si>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</si>
  <si>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</si>
  <si>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</si>
  <si>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</si>
  <si>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</si>
  <si>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</si>
  <si>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</si>
  <si>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</si>
  <si>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</si>
  <si>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</si>
  <si>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</si>
  <si>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</si>
  <si>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</si>
  <si>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</si>
  <si>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</si>
  <si>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</si>
  <si>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</si>
  <si>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</si>
  <si>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</si>
  <si>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</si>
  <si>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</si>
  <si>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</si>
  <si>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</si>
  <si>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</si>
  <si>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</si>
  <si>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</si>
  <si>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</si>
  <si>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</si>
  <si>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</si>
  <si>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</si>
  <si>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</si>
  <si>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</si>
  <si>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</si>
  <si>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</si>
  <si>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</si>
  <si>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</si>
  <si>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</si>
  <si>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</si>
  <si>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</si>
  <si>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</si>
  <si>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</si>
  <si>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</si>
  <si>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</si>
  <si>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</si>
  <si>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</si>
  <si>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</si>
  <si>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</si>
  <si>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</si>
  <si>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</si>
  <si>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</si>
  <si>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</si>
  <si>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</si>
  <si>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</si>
  <si>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</si>
  <si>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</si>
  <si>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</si>
  <si>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</si>
  <si>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</si>
  <si>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</si>
  <si>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</si>
  <si>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</si>
  <si>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</si>
  <si>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</si>
  <si>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</si>
  <si>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</si>
  <si>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</si>
  <si>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</si>
  <si>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</si>
  <si>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</si>
  <si>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</si>
  <si>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</si>
  <si>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</si>
  <si>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</si>
  <si>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</si>
  <si>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</si>
  <si>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</si>
  <si>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</si>
  <si>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</si>
  <si>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</si>
  <si>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</si>
  <si>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</si>
  <si>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</si>
  <si>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</si>
  <si>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</si>
  <si>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</si>
  <si>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</si>
  <si>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</si>
  <si>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</si>
  <si>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</si>
  <si>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</si>
  <si>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</si>
  <si>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</si>
  <si>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</si>
  <si>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</si>
  <si>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</si>
  <si>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</si>
  <si>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</si>
  <si>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</si>
  <si>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</si>
  <si>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</si>
  <si>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</si>
  <si>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</si>
  <si>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</si>
  <si>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</si>
  <si>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</si>
  <si>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</si>
  <si>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</si>
  <si>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</si>
  <si>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</si>
  <si>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</si>
  <si>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</si>
  <si>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</si>
  <si>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</si>
  <si>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</si>
  <si>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</si>
  <si>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</si>
  <si>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</si>
  <si>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</si>
  <si>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</si>
  <si>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</si>
  <si>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</si>
  <si>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</si>
  <si>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</si>
  <si>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</si>
  <si>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</si>
  <si>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</si>
  <si>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</si>
  <si>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</si>
  <si>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</si>
  <si>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</si>
  <si>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</si>
  <si>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</si>
  <si>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</si>
  <si>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</si>
  <si>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</si>
  <si>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</si>
  <si>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</si>
  <si>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</si>
  <si>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</si>
  <si>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</si>
  <si>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</si>
  <si>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</si>
  <si>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</si>
  <si>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</si>
  <si>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</si>
  <si>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</si>
  <si>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</si>
  <si>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</si>
  <si>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</si>
  <si>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</si>
  <si>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</si>
  <si>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</si>
  <si>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</si>
  <si>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</si>
  <si>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</si>
  <si>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</si>
  <si>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</si>
  <si>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</si>
  <si>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</si>
  <si>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</si>
  <si>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</si>
  <si>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</si>
  <si>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</si>
  <si>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</si>
  <si>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</si>
  <si>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</si>
  <si>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</si>
  <si>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</si>
  <si>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</si>
  <si>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</si>
  <si>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</si>
  <si>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</si>
  <si>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</si>
  <si>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</si>
  <si>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</si>
  <si>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</si>
  <si>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</si>
  <si>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</si>
  <si>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</si>
  <si>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</si>
  <si>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</si>
  <si>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</si>
  <si>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</si>
  <si>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</si>
  <si>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</si>
  <si>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</si>
  <si>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</si>
  <si>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</si>
  <si>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</si>
  <si>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</si>
  <si>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</si>
  <si>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</si>
  <si>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</si>
  <si>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</si>
  <si>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</si>
  <si>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</si>
  <si>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</si>
  <si>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</si>
  <si>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</si>
  <si>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</si>
  <si>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</si>
  <si>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</si>
  <si>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</si>
  <si>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</si>
  <si>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</si>
  <si>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</si>
  <si>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</si>
  <si>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</si>
  <si>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</si>
  <si>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</si>
  <si>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</si>
  <si>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</si>
  <si>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</si>
  <si>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</si>
  <si>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</si>
  <si>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</si>
  <si>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</si>
  <si>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</si>
  <si>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</si>
  <si>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</si>
  <si>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</si>
  <si>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</si>
  <si>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</si>
  <si>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</si>
  <si>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</si>
  <si>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</si>
  <si>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</si>
  <si>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</si>
  <si>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</si>
  <si>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</si>
  <si>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</si>
  <si>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</si>
  <si>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</si>
  <si>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</si>
  <si>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</si>
  <si>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</si>
  <si>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</si>
  <si>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</si>
  <si>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</si>
  <si>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</si>
  <si>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</si>
  <si>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</si>
  <si>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</si>
  <si>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</si>
  <si>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</si>
  <si>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</si>
  <si>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</si>
  <si>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</si>
  <si>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</si>
  <si>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</si>
  <si>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</si>
  <si>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</si>
  <si>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</si>
  <si>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</si>
  <si>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</si>
  <si>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</si>
  <si>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</si>
  <si>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</si>
  <si>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</si>
  <si>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</si>
  <si>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</si>
  <si>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</si>
  <si>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</si>
  <si>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</si>
  <si>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</si>
  <si>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</si>
  <si>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</si>
  <si>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</si>
  <si>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</si>
  <si>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</si>
  <si>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</si>
  <si>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</si>
  <si>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</si>
  <si>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</si>
  <si>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</si>
  <si>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</si>
  <si>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</si>
  <si>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</si>
  <si>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</si>
  <si>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</si>
  <si>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</si>
  <si>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</si>
  <si>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</si>
  <si>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</si>
  <si>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</si>
  <si>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</si>
  <si>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</si>
  <si>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</si>
  <si>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</si>
  <si>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</si>
  <si>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</si>
  <si>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</si>
  <si>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</si>
  <si>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</si>
  <si>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</si>
  <si>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</si>
  <si>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</si>
  <si>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</si>
  <si>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</si>
  <si>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</si>
  <si>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</si>
  <si>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</si>
  <si>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</si>
  <si>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</si>
  <si>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</si>
  <si>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</si>
  <si>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</si>
  <si>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</si>
  <si>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</si>
  <si>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</si>
  <si>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</si>
  <si>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</si>
  <si>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</si>
  <si>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</si>
  <si>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</si>
  <si>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</si>
  <si>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</si>
  <si>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</si>
  <si>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</si>
  <si>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</si>
  <si>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</si>
  <si>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</si>
  <si>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</si>
  <si>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</si>
  <si>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</si>
  <si>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</si>
  <si>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</si>
  <si>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</si>
  <si>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</si>
  <si>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</si>
  <si>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</si>
  <si>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</si>
  <si>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</si>
  <si>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</si>
  <si>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</si>
  <si>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</si>
  <si>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</si>
  <si>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</si>
  <si>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</si>
  <si>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</si>
  <si>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</si>
  <si>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</si>
  <si>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</si>
  <si>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</si>
  <si>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</si>
  <si>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</si>
  <si>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</si>
  <si>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</si>
  <si>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</si>
  <si>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</si>
  <si>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</si>
  <si>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</si>
  <si>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</si>
  <si>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</si>
  <si>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</si>
  <si>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</si>
  <si>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</si>
  <si>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</si>
  <si>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</si>
  <si>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</si>
  <si>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</si>
  <si>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</si>
  <si>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</si>
  <si>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</si>
  <si>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</si>
  <si>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</si>
  <si>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</si>
  <si>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</si>
  <si>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</si>
  <si>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</si>
  <si>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</si>
  <si>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</si>
  <si>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</si>
  <si>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</si>
  <si>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</si>
  <si>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</si>
  <si>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</si>
  <si>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</si>
  <si>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</si>
  <si>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</si>
  <si>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</si>
  <si>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</si>
  <si>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</si>
  <si>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</si>
  <si>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</si>
  <si>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</si>
  <si>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</si>
  <si>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</si>
  <si>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</si>
  <si>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</si>
  <si>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</si>
  <si>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</si>
  <si>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</si>
  <si>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</si>
  <si>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</si>
  <si>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</si>
  <si>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</si>
  <si>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</si>
  <si>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</si>
  <si>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</si>
  <si>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</si>
  <si>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</si>
  <si>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</si>
  <si>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</si>
  <si>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</si>
  <si>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</si>
  <si>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</si>
  <si>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</si>
  <si>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</si>
  <si>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</si>
  <si>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</si>
  <si>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</si>
  <si>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</si>
  <si>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</si>
  <si>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</si>
  <si>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</si>
  <si>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</si>
  <si>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</si>
  <si>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</si>
  <si>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</si>
  <si>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</si>
  <si>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</si>
  <si>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</si>
  <si>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</si>
  <si>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</si>
  <si>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</si>
  <si>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</si>
  <si>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</si>
  <si>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</si>
  <si>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</si>
  <si>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</si>
  <si>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</si>
  <si>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</si>
  <si>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</si>
  <si>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</si>
  <si>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</si>
  <si>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</si>
  <si>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</si>
  <si>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</si>
  <si>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</si>
  <si>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</si>
  <si>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</si>
  <si>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</si>
  <si>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</si>
  <si>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</si>
  <si>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</si>
  <si>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</si>
  <si>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</si>
  <si>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</si>
  <si>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</si>
  <si>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</si>
  <si>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</si>
  <si>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</si>
  <si>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</si>
  <si>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</si>
  <si>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</si>
  <si>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</si>
  <si>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</si>
  <si>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</si>
  <si>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</si>
  <si>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</si>
  <si>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</si>
  <si>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</si>
  <si>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</si>
  <si>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</si>
  <si>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</si>
  <si>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</si>
  <si>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</si>
  <si>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</si>
  <si>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</si>
  <si>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</si>
  <si>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</si>
  <si>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</si>
  <si>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</si>
  <si>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</si>
  <si>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</si>
  <si>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</si>
  <si>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</si>
  <si>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</si>
  <si>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</si>
  <si>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</si>
  <si>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</si>
  <si>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</si>
  <si>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</si>
  <si>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</si>
  <si>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</si>
  <si>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</si>
  <si>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</si>
  <si>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</si>
  <si>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</si>
  <si>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</si>
  <si>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</si>
  <si>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</si>
  <si>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</si>
  <si>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</si>
  <si>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</si>
  <si>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</si>
  <si>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</si>
  <si>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</si>
  <si>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</si>
  <si>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</si>
  <si>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</si>
  <si>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</si>
  <si>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</si>
  <si>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</si>
  <si>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</si>
  <si>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</si>
  <si>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</si>
  <si>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</si>
  <si>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</si>
  <si>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</si>
  <si>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</si>
  <si>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</si>
  <si>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</si>
  <si>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</si>
  <si>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</si>
  <si>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</si>
  <si>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</si>
  <si>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</si>
  <si>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</si>
  <si>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</si>
  <si>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</si>
  <si>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</si>
  <si>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</si>
  <si>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</si>
  <si>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</si>
  <si>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</si>
  <si>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</si>
  <si>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</si>
  <si>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</si>
  <si>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</si>
  <si>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</si>
  <si>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</si>
  <si>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</si>
  <si>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</si>
  <si>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</si>
  <si>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</si>
  <si>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</si>
  <si>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</si>
  <si>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</si>
  <si>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</si>
  <si>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</si>
  <si>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</si>
  <si>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</si>
  <si>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</si>
  <si>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</si>
  <si>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</si>
  <si>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</si>
  <si>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</si>
  <si>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</si>
  <si>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</si>
  <si>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</si>
  <si>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</si>
  <si>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</si>
  <si>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</si>
  <si>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</si>
  <si>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</si>
  <si>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</si>
  <si>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</si>
  <si>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</si>
  <si>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</si>
  <si>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</si>
  <si>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</si>
  <si>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</si>
  <si>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</si>
  <si>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</si>
  <si>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</si>
  <si>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</si>
  <si>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</si>
  <si>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</si>
  <si>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</si>
  <si>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</si>
  <si>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</si>
  <si>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</si>
  <si>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</si>
  <si>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</si>
  <si>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</si>
  <si>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</si>
  <si>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</si>
  <si>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</si>
  <si>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</si>
  <si>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</si>
  <si>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</si>
  <si>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</si>
  <si>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</si>
  <si>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</si>
  <si>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</si>
  <si>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</si>
  <si>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</si>
  <si>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</si>
  <si>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</si>
  <si>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</si>
  <si>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</si>
  <si>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</si>
  <si>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</si>
  <si>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</si>
  <si>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</si>
  <si>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</si>
  <si>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</si>
  <si>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</si>
  <si>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</si>
  <si>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</si>
  <si>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</si>
  <si>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</si>
  <si>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</si>
  <si>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</si>
  <si>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</si>
  <si>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</si>
  <si>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</si>
  <si>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</si>
  <si>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</si>
  <si>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</si>
  <si>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</si>
  <si>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</si>
  <si>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</si>
  <si>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</si>
  <si>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</si>
  <si>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</si>
  <si>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</si>
  <si>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</si>
  <si>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</si>
  <si>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</si>
  <si>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</si>
  <si>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</si>
  <si>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</si>
  <si>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</si>
  <si>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</si>
  <si>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</si>
  <si>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</si>
  <si>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</si>
  <si>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</si>
  <si>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</si>
  <si>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</si>
  <si>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</si>
  <si>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</si>
  <si>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</si>
  <si>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</si>
  <si>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</si>
  <si>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</si>
  <si>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</si>
  <si>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</si>
  <si>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</si>
  <si>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</si>
  <si>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</si>
  <si>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</si>
  <si>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</si>
  <si>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</si>
  <si>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</si>
  <si>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</si>
  <si>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</si>
  <si>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</si>
  <si>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</si>
  <si>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</si>
  <si>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</si>
  <si>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</si>
  <si>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</si>
  <si>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</si>
  <si>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</si>
  <si>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</si>
  <si>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</si>
  <si>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</si>
  <si>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</si>
  <si>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</si>
  <si>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</si>
  <si>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</si>
  <si>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</si>
  <si>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</si>
  <si>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</si>
  <si>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</si>
  <si>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</si>
  <si>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</si>
  <si>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</si>
  <si>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</si>
  <si>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</si>
  <si>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</si>
  <si>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</si>
  <si>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</si>
  <si>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</si>
  <si>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</si>
  <si>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</si>
  <si>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</si>
  <si>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</si>
  <si>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</si>
  <si>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</si>
  <si>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</si>
  <si>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</si>
  <si>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</si>
  <si>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</si>
  <si>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</si>
  <si>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</si>
  <si>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</si>
  <si>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</si>
  <si>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</si>
  <si>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</si>
  <si>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</si>
  <si>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</si>
  <si>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</si>
  <si>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</si>
  <si>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</si>
  <si>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</si>
  <si>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</si>
  <si>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</si>
  <si>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</si>
  <si>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</si>
  <si>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</si>
  <si>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</si>
  <si>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</si>
  <si>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</si>
  <si>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</si>
  <si>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</si>
  <si>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</si>
  <si>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</si>
  <si>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</si>
  <si>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</si>
  <si>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</si>
  <si>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</si>
  <si>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</si>
  <si>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</si>
  <si>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</si>
  <si>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</si>
  <si>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</si>
  <si>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</si>
  <si>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</si>
  <si>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</si>
  <si>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</si>
  <si>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</si>
  <si>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</si>
  <si>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</si>
  <si>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</si>
  <si>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</si>
  <si>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</si>
  <si>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</si>
  <si>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</si>
  <si>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</si>
  <si>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</si>
  <si>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</si>
  <si>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</si>
  <si>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</si>
  <si>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</si>
  <si>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</si>
  <si>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</si>
  <si>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</si>
  <si>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</si>
  <si>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</si>
  <si>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</si>
  <si>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</si>
  <si>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</si>
  <si>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</si>
  <si>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</si>
  <si>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</si>
  <si>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</si>
  <si>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</si>
  <si>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</si>
  <si>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</si>
  <si>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</si>
  <si>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</si>
  <si>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</si>
  <si>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</si>
  <si>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</si>
  <si>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</si>
  <si>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</si>
  <si>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</si>
  <si>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</si>
  <si>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</si>
  <si>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</si>
  <si>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</si>
  <si>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</si>
  <si>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</si>
  <si>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</si>
  <si>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</si>
  <si>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</si>
  <si>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</si>
  <si>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</si>
  <si>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</si>
  <si>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</si>
  <si>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</si>
  <si>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</si>
  <si>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</si>
  <si>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</si>
  <si>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</si>
  <si>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</si>
  <si>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</si>
  <si>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</si>
  <si>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</si>
  <si>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</si>
  <si>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</si>
  <si>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</si>
  <si>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</si>
  <si>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</si>
  <si>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</si>
  <si>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</si>
  <si>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</si>
  <si>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</si>
  <si>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</si>
  <si>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</si>
  <si>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</si>
  <si>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</si>
  <si>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</si>
  <si>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</si>
  <si>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</si>
  <si>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</si>
  <si>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</si>
  <si>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</si>
  <si>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</si>
  <si>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</si>
  <si>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</si>
  <si>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</si>
  <si>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</si>
  <si>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</si>
  <si>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</si>
  <si>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</si>
  <si>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</si>
  <si>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</si>
  <si>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</si>
  <si>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</si>
  <si>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</si>
  <si>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</si>
  <si>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</si>
  <si>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</si>
  <si>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</si>
  <si>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</si>
  <si>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</si>
  <si>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</si>
  <si>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</si>
  <si>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</si>
  <si>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</si>
  <si>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</si>
  <si>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</si>
  <si>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</si>
  <si>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</si>
  <si>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</si>
  <si>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</si>
  <si>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</si>
  <si>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</si>
  <si>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</si>
  <si>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</si>
  <si>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</si>
  <si>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</si>
  <si>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</si>
  <si>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</si>
  <si>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</si>
  <si>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</si>
  <si>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</si>
  <si>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</si>
  <si>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</si>
  <si>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</si>
  <si>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</si>
  <si>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</si>
  <si>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</si>
  <si>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</si>
  <si>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</si>
  <si>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</si>
  <si>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</si>
  <si>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</si>
  <si>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</si>
  <si>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</si>
  <si>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</si>
  <si>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</si>
  <si>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</si>
  <si>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</si>
  <si>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</si>
  <si>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</si>
  <si>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</si>
  <si>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</si>
  <si>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</si>
  <si>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</si>
  <si>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</si>
  <si>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</si>
  <si>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</si>
  <si>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</si>
  <si>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</si>
  <si>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</si>
  <si>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</si>
  <si>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</si>
  <si>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</si>
  <si>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</si>
  <si>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</si>
  <si>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</si>
  <si>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</si>
  <si>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</si>
  <si>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</si>
  <si>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</si>
  <si>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</si>
  <si>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</si>
  <si>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</si>
  <si>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</si>
  <si>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</si>
  <si>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</si>
  <si>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</si>
  <si>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</si>
  <si>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</si>
  <si>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</si>
  <si>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</si>
  <si>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</si>
  <si>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</si>
  <si>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</si>
  <si>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</si>
  <si>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</si>
  <si>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</si>
  <si>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</si>
  <si>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</si>
  <si>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</si>
  <si>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</si>
  <si>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</si>
  <si>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</si>
  <si>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</si>
  <si>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</si>
  <si>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</si>
  <si>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</si>
  <si>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</si>
  <si>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</si>
  <si>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</si>
  <si>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</si>
  <si>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</si>
  <si>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</si>
  <si>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</si>
  <si>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</si>
  <si>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</si>
  <si>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</si>
  <si>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</si>
  <si>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</si>
  <si>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</si>
  <si>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</si>
  <si>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</si>
  <si>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</si>
  <si>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</si>
  <si>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</si>
  <si>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</si>
  <si>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</si>
  <si>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</si>
  <si>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</si>
  <si>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</si>
  <si>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</si>
  <si>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</si>
  <si>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</si>
  <si>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</si>
  <si>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</si>
  <si>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</si>
  <si>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</si>
  <si>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</si>
  <si>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</si>
  <si>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</si>
  <si>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</si>
  <si>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</si>
  <si>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</si>
  <si>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</si>
  <si>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</si>
  <si>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</si>
  <si>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</si>
  <si>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</si>
  <si>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</si>
  <si>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</si>
  <si>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</si>
  <si>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</si>
  <si>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</si>
  <si>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</si>
  <si>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</si>
  <si>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</si>
  <si>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</si>
  <si>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</si>
  <si>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</si>
  <si>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</si>
  <si>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</si>
  <si>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</si>
  <si>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</si>
  <si>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</si>
  <si>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</si>
  <si>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</si>
  <si>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</si>
  <si>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</si>
  <si>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</si>
  <si>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</si>
  <si>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</si>
  <si>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</si>
  <si>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</si>
  <si>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</si>
  <si>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</si>
  <si>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</si>
  <si>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</si>
  <si>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</si>
  <si>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</si>
  <si>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</si>
  <si>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</si>
  <si>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</si>
  <si>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</si>
  <si>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</si>
  <si>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</si>
  <si>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</si>
  <si>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</si>
  <si>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</si>
  <si>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</si>
  <si>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</si>
  <si>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</si>
  <si>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</si>
  <si>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</si>
  <si>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</si>
  <si>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</si>
  <si>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</si>
  <si>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</si>
  <si>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</si>
  <si>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</si>
  <si>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</si>
  <si>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</si>
  <si>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</si>
  <si>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</si>
  <si>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</si>
  <si>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</si>
  <si>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</si>
  <si>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</si>
  <si>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</si>
  <si>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</si>
  <si>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</si>
  <si>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</si>
  <si>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</si>
  <si>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</si>
  <si>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</si>
  <si>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</si>
  <si>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</si>
  <si>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</si>
  <si>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</si>
  <si>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</si>
  <si>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</si>
  <si>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</si>
  <si>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</si>
  <si>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</si>
  <si>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</si>
  <si>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</si>
  <si>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</si>
  <si>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</si>
  <si>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</si>
  <si>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</si>
  <si>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</si>
  <si>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</si>
  <si>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</si>
  <si>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</si>
  <si>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</si>
  <si>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</si>
  <si>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</si>
  <si>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</si>
  <si>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</si>
  <si>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</si>
  <si>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</si>
  <si>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</si>
  <si>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</si>
  <si>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</si>
  <si>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</si>
  <si>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</si>
  <si>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</si>
  <si>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</si>
  <si>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</si>
  <si>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</si>
  <si>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</si>
  <si>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</si>
  <si>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</si>
  <si>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</si>
  <si>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</si>
  <si>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</si>
  <si>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</si>
  <si>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</si>
  <si>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</si>
  <si>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</si>
  <si>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</si>
  <si>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</si>
  <si>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</si>
  <si>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</si>
  <si>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</si>
  <si>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</si>
  <si>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</si>
  <si>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</si>
  <si>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</si>
  <si>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</si>
  <si>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</si>
  <si>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</si>
  <si>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</si>
  <si>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</si>
  <si>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</si>
  <si>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</si>
  <si>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</si>
  <si>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</si>
  <si>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</si>
  <si>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</si>
  <si>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</si>
  <si>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</si>
  <si>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</si>
  <si>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</si>
  <si>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</si>
  <si>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</si>
  <si>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</si>
  <si>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</si>
  <si>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</si>
  <si>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</si>
  <si>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</si>
  <si>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</si>
  <si>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</si>
  <si>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</si>
  <si>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</si>
  <si>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</si>
  <si>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</si>
  <si>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</si>
  <si>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</si>
  <si>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</si>
  <si>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</si>
  <si>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</si>
  <si>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</si>
  <si>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</si>
  <si>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</si>
  <si>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</si>
  <si>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</si>
  <si>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</si>
  <si>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</si>
  <si>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</si>
  <si>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</si>
  <si>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</si>
  <si>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</si>
  <si>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</si>
  <si>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</si>
  <si>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</si>
  <si>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</si>
  <si>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</si>
  <si>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</si>
  <si>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</si>
  <si>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</si>
  <si>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</si>
  <si>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</si>
  <si>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</si>
  <si>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</si>
  <si>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</si>
  <si>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</si>
  <si>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</si>
  <si>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</si>
  <si>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</si>
  <si>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</si>
  <si>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</si>
  <si>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</si>
  <si>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</si>
  <si>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</si>
  <si>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</si>
  <si>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</si>
  <si>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</si>
  <si>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</si>
  <si>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</si>
  <si>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</si>
  <si>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</si>
  <si>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</si>
  <si>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</si>
  <si>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</si>
  <si>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</si>
  <si>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</si>
  <si>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</si>
  <si>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</si>
  <si>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</si>
  <si>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</si>
  <si>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</si>
  <si>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</si>
  <si>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</si>
  <si>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</si>
  <si>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</si>
  <si>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</si>
  <si>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</si>
  <si>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</si>
  <si>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</si>
  <si>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</si>
  <si>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</si>
  <si>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</si>
  <si>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</si>
  <si>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</si>
  <si>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</si>
  <si>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</si>
  <si>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</si>
  <si>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</si>
  <si>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</si>
  <si>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</si>
  <si>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</si>
  <si>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</si>
  <si>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</si>
  <si>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</si>
  <si>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</si>
  <si>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</si>
  <si>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</si>
  <si>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</si>
  <si>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</si>
  <si>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</si>
  <si>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</si>
  <si>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</si>
  <si>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</si>
  <si>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</si>
  <si>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</si>
  <si>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</si>
  <si>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</si>
  <si>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</si>
  <si>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</si>
  <si>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</si>
  <si>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</si>
  <si>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</si>
  <si>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</si>
  <si>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</si>
  <si>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</si>
  <si>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</si>
  <si>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</si>
  <si>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</si>
  <si>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</si>
  <si>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</si>
  <si>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</si>
  <si>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</si>
  <si>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</si>
  <si>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</si>
  <si>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</si>
  <si>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</si>
  <si>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</si>
  <si>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</si>
  <si>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</si>
  <si>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</si>
  <si>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</si>
  <si>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</si>
  <si>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</si>
  <si>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</si>
  <si>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</si>
  <si>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</si>
  <si>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</si>
  <si>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</si>
  <si>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</si>
  <si>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</si>
  <si>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</si>
  <si>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</si>
  <si>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</si>
  <si>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</si>
  <si>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</si>
  <si>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</si>
  <si>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</si>
  <si>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</si>
  <si>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</si>
  <si>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</si>
  <si>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</si>
  <si>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</si>
  <si>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</si>
  <si>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</si>
  <si>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</si>
  <si>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</si>
  <si>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</si>
  <si>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</si>
  <si>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</si>
  <si>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</si>
  <si>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</si>
  <si>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</si>
  <si>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</si>
  <si>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</si>
  <si>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</si>
  <si>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</si>
  <si>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</si>
  <si>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</si>
  <si>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</si>
  <si>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</si>
  <si>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</si>
  <si>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</si>
  <si>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</si>
  <si>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</si>
  <si>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</si>
  <si>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</si>
  <si>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</si>
  <si>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</si>
  <si>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</si>
  <si>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</si>
  <si>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</si>
  <si>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</si>
  <si>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</si>
  <si>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</si>
  <si>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</si>
  <si>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</si>
  <si>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</si>
  <si>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</si>
  <si>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</si>
  <si>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</si>
  <si>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</si>
  <si>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</si>
  <si>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</si>
  <si>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</si>
  <si>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</si>
  <si>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</si>
  <si>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</si>
  <si>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</si>
  <si>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</si>
  <si>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</si>
  <si>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</si>
  <si>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</si>
  <si>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</si>
  <si>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</si>
  <si>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</si>
  <si>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</si>
  <si>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</si>
  <si>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</si>
  <si>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</si>
  <si>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</si>
  <si>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</si>
  <si>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</si>
  <si>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</si>
  <si>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</si>
  <si>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</si>
  <si>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</si>
  <si>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</si>
  <si>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</si>
  <si>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</si>
  <si>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</si>
  <si>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</si>
  <si>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</si>
  <si>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</si>
  <si>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</si>
  <si>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</si>
  <si>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</si>
  <si>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</si>
  <si>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</si>
  <si>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</si>
  <si>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</si>
  <si>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</si>
  <si>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</si>
  <si>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</si>
  <si>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</si>
  <si>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</si>
  <si>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</si>
  <si>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</si>
  <si>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</si>
  <si>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</si>
  <si>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</si>
  <si>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</si>
  <si>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</si>
  <si>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</si>
  <si>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</si>
  <si>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</si>
  <si>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</si>
  <si>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</si>
  <si>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</si>
  <si>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</si>
  <si>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</si>
  <si>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</si>
  <si>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</si>
  <si>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</si>
  <si>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</si>
  <si>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</si>
  <si>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</si>
  <si>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</si>
  <si>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</si>
  <si>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</si>
  <si>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</si>
  <si>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</si>
  <si>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</si>
  <si>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</si>
  <si>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</si>
  <si>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</si>
  <si>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</si>
  <si>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</si>
  <si>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</si>
  <si>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</si>
  <si>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</si>
  <si>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</si>
  <si>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</si>
  <si>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</si>
  <si>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</si>
  <si>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</si>
  <si>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</si>
  <si>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</si>
  <si>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</si>
  <si>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</si>
  <si>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</si>
  <si>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</si>
  <si>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</si>
  <si>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</si>
  <si>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</si>
  <si>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</si>
  <si>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</si>
  <si>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</si>
  <si>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</si>
  <si>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</si>
  <si>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</si>
  <si>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</si>
  <si>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</si>
  <si>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</si>
  <si>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</si>
  <si>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</si>
  <si>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</si>
  <si>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</si>
  <si>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</si>
  <si>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</si>
  <si>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</si>
  <si>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</si>
  <si>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</si>
  <si>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</si>
  <si>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</si>
  <si>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</si>
  <si>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</si>
  <si>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</si>
  <si>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</si>
  <si>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</si>
  <si>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</si>
  <si>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</si>
  <si>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</si>
  <si>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</si>
  <si>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</si>
  <si>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</si>
  <si>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</si>
  <si>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</si>
  <si>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</si>
  <si>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</si>
  <si>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</si>
  <si>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</si>
  <si>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</si>
  <si>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</si>
  <si>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</si>
  <si>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</si>
  <si>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</si>
  <si>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</si>
  <si>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</si>
  <si>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</si>
  <si>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</si>
  <si>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</si>
  <si>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</si>
  <si>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</si>
  <si>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</si>
  <si>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</si>
  <si>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</si>
  <si>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</si>
  <si>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</si>
  <si>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</si>
  <si>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</si>
  <si>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</si>
  <si>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</si>
  <si>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</si>
  <si>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</si>
  <si>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</si>
  <si>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</si>
  <si>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</si>
  <si>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</si>
  <si>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</si>
  <si>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</si>
  <si>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</si>
  <si>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</si>
  <si>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</si>
  <si>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</si>
  <si>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</si>
  <si>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</si>
  <si>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</si>
  <si>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</si>
  <si>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</si>
  <si>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</si>
  <si>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</si>
  <si>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</si>
  <si>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</si>
  <si>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</si>
  <si>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</si>
  <si>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</si>
  <si>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</si>
  <si>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</si>
  <si>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</si>
  <si>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</si>
  <si>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</si>
  <si>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</si>
  <si>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</si>
  <si>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</si>
  <si>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</si>
  <si>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</si>
  <si>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</si>
  <si>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</si>
  <si>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</si>
  <si>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</si>
  <si>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</si>
  <si>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</si>
  <si>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</si>
  <si>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</si>
  <si>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</si>
  <si>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</si>
  <si>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</si>
  <si>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</si>
  <si>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</si>
  <si>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</si>
  <si>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</si>
  <si>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</si>
  <si>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</si>
  <si>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</si>
  <si>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</si>
  <si>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</si>
  <si>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</si>
  <si>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</si>
  <si>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</si>
  <si>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</si>
  <si>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</si>
  <si>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</si>
  <si>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</si>
  <si>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</si>
  <si>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</si>
  <si>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</si>
  <si>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</si>
  <si>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</si>
  <si>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</si>
  <si>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</si>
  <si>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</si>
  <si>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</si>
  <si>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</si>
  <si>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</si>
  <si>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</si>
  <si>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</si>
  <si>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</si>
  <si>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</si>
  <si>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</si>
  <si>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</si>
  <si>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</si>
  <si>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</si>
  <si>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</si>
  <si>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</si>
  <si>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</si>
  <si>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</si>
  <si>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</si>
  <si>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</si>
  <si>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</si>
  <si>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</si>
  <si>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</si>
  <si>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</si>
  <si>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</si>
  <si>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</si>
  <si>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</si>
  <si>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</si>
  <si>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</si>
  <si>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</si>
  <si>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</si>
  <si>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</si>
  <si>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</si>
  <si>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</si>
  <si>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</si>
  <si>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</si>
  <si>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</si>
  <si>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</si>
  <si>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</si>
  <si>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</si>
  <si>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</si>
  <si>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</si>
  <si>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</si>
  <si>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</si>
  <si>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</si>
  <si>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</si>
  <si>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</si>
  <si>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</si>
  <si>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</si>
  <si>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</si>
  <si>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</si>
  <si>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</si>
  <si>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</si>
  <si>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</si>
  <si>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</si>
  <si>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</si>
  <si>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</si>
  <si>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</si>
  <si>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</si>
  <si>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</si>
  <si>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</si>
  <si>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</si>
  <si>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</si>
  <si>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</si>
  <si>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</si>
  <si>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</si>
  <si>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</si>
  <si>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</si>
  <si>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</si>
  <si>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</si>
  <si>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</si>
  <si>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</si>
  <si>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</si>
  <si>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</si>
  <si>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</si>
  <si>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</si>
  <si>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</si>
  <si>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</si>
  <si>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</si>
  <si>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</si>
  <si>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</si>
  <si>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</si>
  <si>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</si>
  <si>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</si>
  <si>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</si>
  <si>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</si>
  <si>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</si>
  <si>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</si>
  <si>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</si>
  <si>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</si>
  <si>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</si>
  <si>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</si>
  <si>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</si>
  <si>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</si>
  <si>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</si>
  <si>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</si>
  <si>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</si>
  <si>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</si>
  <si>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</si>
  <si>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</si>
  <si>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</si>
  <si>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</si>
  <si>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</si>
  <si>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</si>
  <si>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</si>
  <si>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</si>
  <si>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</si>
  <si>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</si>
  <si>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</si>
  <si>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</si>
  <si>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</si>
  <si>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</si>
  <si>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</si>
  <si>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</si>
  <si>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</si>
  <si>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</si>
  <si>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</si>
  <si>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</si>
  <si>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</si>
  <si>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</si>
  <si>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</si>
  <si>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</si>
  <si>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</si>
  <si>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</si>
  <si>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</si>
  <si>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</si>
  <si>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</si>
  <si>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</si>
  <si>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</si>
  <si>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</si>
  <si>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</si>
  <si>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</si>
  <si>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</si>
  <si>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</si>
  <si>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</si>
  <si>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</si>
  <si>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</si>
  <si>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</si>
  <si>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</si>
  <si>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</si>
  <si>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</si>
  <si>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</si>
  <si>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</si>
  <si>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</si>
  <si>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</si>
  <si>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</si>
  <si>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</si>
  <si>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</si>
  <si>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</si>
  <si>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</si>
  <si>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</si>
  <si>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</si>
  <si>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</si>
  <si>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</si>
  <si>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</si>
  <si>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</si>
  <si>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</si>
  <si>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</si>
  <si>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</si>
  <si>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</si>
  <si>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</si>
  <si>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</si>
  <si>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</si>
  <si>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</si>
  <si>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</si>
  <si>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</si>
  <si>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</si>
  <si>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</si>
  <si>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</si>
  <si>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</si>
  <si>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</si>
  <si>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</si>
  <si>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</si>
  <si>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</si>
  <si>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</si>
  <si>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</si>
  <si>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</si>
  <si>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</si>
  <si>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</si>
  <si>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</si>
  <si>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</si>
  <si>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</si>
  <si>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</si>
  <si>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</si>
  <si>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</si>
  <si>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</si>
  <si>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</si>
  <si>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</si>
  <si>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</si>
  <si>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</si>
  <si>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</si>
  <si>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</si>
  <si>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</si>
  <si>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</si>
  <si>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</si>
  <si>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</si>
  <si>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</si>
  <si>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</si>
  <si>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</si>
  <si>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</si>
  <si>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</si>
  <si>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</si>
  <si>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</si>
  <si>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</si>
  <si>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</si>
  <si>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</si>
  <si>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</si>
  <si>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</si>
  <si>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</si>
  <si>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</si>
  <si>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</si>
  <si>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</si>
  <si>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</si>
  <si>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</si>
  <si>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</si>
  <si>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</si>
  <si>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</si>
  <si>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</si>
  <si>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</si>
  <si>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</si>
  <si>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</si>
  <si>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</si>
  <si>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</si>
  <si>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</si>
  <si>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</si>
  <si>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</si>
  <si>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</si>
  <si>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</si>
  <si>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</si>
  <si>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</si>
  <si>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</si>
  <si>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</si>
  <si>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</si>
  <si>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</si>
  <si>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</si>
  <si>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</si>
  <si>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</si>
  <si>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</si>
  <si>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</si>
  <si>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</si>
  <si>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</si>
  <si>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</si>
  <si>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</si>
  <si>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</si>
  <si>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</si>
  <si>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</si>
  <si>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</si>
  <si>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</si>
  <si>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</si>
  <si>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</si>
  <si>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</si>
  <si>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</si>
  <si>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</si>
  <si>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</si>
  <si>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</si>
  <si>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</si>
  <si>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</si>
  <si>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</si>
  <si>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</si>
  <si>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</si>
  <si>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</si>
  <si>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</si>
  <si>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</si>
  <si>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</si>
  <si>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</si>
  <si>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</si>
  <si>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</si>
  <si>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</si>
  <si>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</si>
  <si>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</si>
  <si>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</si>
  <si>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</si>
  <si>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</si>
  <si>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</si>
  <si>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</si>
  <si>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</si>
  <si>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</si>
  <si>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</si>
  <si>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</si>
  <si>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</si>
  <si>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</si>
  <si>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</si>
  <si>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</si>
  <si>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</si>
  <si>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</si>
  <si>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</si>
  <si>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</si>
  <si>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</si>
  <si>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</si>
  <si>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</si>
  <si>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</si>
  <si>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</si>
  <si>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</si>
  <si>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</si>
  <si>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</si>
  <si>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</si>
  <si>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</si>
  <si>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</si>
  <si>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</si>
  <si>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</si>
  <si>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</si>
  <si>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</si>
  <si>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</si>
  <si>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</si>
  <si>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</si>
  <si>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</si>
  <si>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</si>
  <si>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</si>
  <si>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</si>
  <si>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</si>
  <si>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</si>
  <si>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</si>
  <si>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</si>
  <si>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</si>
  <si>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</si>
  <si>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</si>
  <si>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</si>
  <si>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</si>
  <si>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</si>
  <si>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</si>
  <si>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</si>
  <si>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</si>
  <si>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</si>
  <si>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</si>
  <si>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</si>
  <si>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</si>
  <si>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</si>
  <si>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</si>
  <si>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</si>
  <si>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</si>
  <si>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</si>
  <si>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</si>
  <si>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</si>
  <si>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</si>
  <si>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</si>
  <si>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</si>
  <si>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</si>
  <si>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</si>
  <si>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</si>
  <si>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</si>
  <si>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</si>
  <si>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</si>
  <si>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</si>
  <si>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</si>
  <si>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</si>
  <si>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</si>
  <si>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</si>
  <si>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</si>
  <si>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</si>
  <si>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</si>
  <si>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</si>
  <si>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</si>
  <si>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</si>
  <si>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</si>
  <si>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</si>
  <si>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</si>
  <si>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</si>
  <si>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</si>
  <si>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</si>
  <si>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</si>
  <si>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</si>
  <si>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</si>
  <si>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</si>
  <si>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</si>
  <si>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</si>
  <si>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</si>
  <si>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</si>
  <si>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</si>
  <si>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</si>
  <si>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</si>
  <si>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</si>
  <si>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</si>
  <si>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</si>
  <si>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</si>
  <si>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</si>
  <si>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</si>
  <si>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</si>
  <si>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</si>
  <si>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</si>
  <si>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</si>
  <si>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</si>
  <si>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</si>
  <si>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</si>
  <si>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</si>
  <si>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</si>
  <si>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</si>
  <si>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</si>
  <si>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</si>
  <si>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</si>
  <si>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</si>
  <si>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</si>
  <si>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</si>
  <si>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</si>
  <si>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</si>
  <si>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</si>
  <si>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</si>
  <si>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</si>
  <si>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</si>
  <si>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</si>
  <si>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</si>
  <si>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</si>
  <si>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</si>
  <si>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</si>
  <si>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</si>
  <si>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</si>
  <si>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</si>
  <si>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</si>
  <si>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</si>
  <si>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</si>
  <si>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</si>
  <si>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</si>
  <si>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</si>
  <si>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</si>
  <si>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</si>
  <si>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</si>
  <si>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</si>
  <si>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</si>
  <si>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</si>
  <si>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</si>
  <si>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</si>
  <si>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</si>
  <si>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</si>
  <si>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</si>
  <si>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</si>
  <si>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</si>
  <si>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</si>
  <si>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</si>
  <si>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</si>
  <si>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</si>
  <si>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</si>
  <si>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</si>
  <si>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</si>
  <si>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</si>
  <si>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</si>
  <si>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</si>
  <si>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</si>
  <si>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</si>
  <si>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</si>
  <si>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</si>
  <si>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</si>
  <si>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</si>
  <si>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</si>
  <si>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</si>
  <si>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</si>
  <si>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</si>
  <si>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</si>
  <si>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</si>
  <si>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</si>
  <si>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</si>
  <si>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</si>
  <si>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</si>
  <si>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</si>
  <si>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</si>
  <si>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</si>
  <si>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</si>
  <si>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</si>
  <si>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</si>
  <si>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</si>
  <si>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</si>
  <si>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</si>
  <si>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</si>
  <si>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</si>
  <si>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</si>
  <si>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</si>
  <si>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</si>
  <si>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</si>
  <si>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</si>
  <si>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</si>
  <si>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</si>
  <si>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</si>
  <si>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</si>
  <si>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</si>
  <si>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</si>
  <si>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</si>
  <si>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</si>
  <si>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</si>
  <si>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</si>
  <si>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</si>
  <si>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</si>
  <si>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</si>
  <si>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</si>
  <si>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</si>
  <si>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</si>
  <si>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</si>
  <si>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</si>
  <si>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</si>
  <si>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</si>
  <si>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</si>
  <si>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</si>
  <si>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</si>
  <si>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</si>
  <si>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</si>
  <si>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</si>
  <si>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</si>
  <si>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</si>
  <si>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</si>
  <si>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</si>
  <si>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</si>
  <si>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</si>
  <si>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</si>
  <si>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</si>
  <si>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</si>
  <si>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</si>
  <si>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</si>
  <si>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</si>
  <si>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</si>
  <si>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</si>
  <si>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</si>
  <si>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</si>
  <si>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</si>
  <si>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</si>
  <si>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</si>
  <si>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</si>
  <si>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</si>
  <si>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</si>
  <si>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</si>
  <si>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</si>
  <si>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</si>
  <si>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</si>
  <si>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</si>
  <si>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</si>
  <si>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</si>
  <si>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</si>
  <si>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</si>
  <si>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</si>
  <si>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</si>
  <si>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</si>
  <si>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</si>
  <si>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</si>
  <si>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</si>
  <si>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</si>
  <si>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</si>
  <si>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</si>
  <si>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</si>
  <si>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</si>
  <si>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</si>
  <si>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</si>
  <si>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</si>
  <si>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</si>
  <si>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</si>
  <si>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</si>
  <si>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</si>
  <si>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</si>
  <si>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</si>
  <si>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</si>
  <si>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</si>
  <si>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</si>
  <si>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</si>
  <si>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</si>
  <si>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</si>
  <si>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</si>
  <si>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</si>
  <si>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</si>
  <si>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</si>
  <si>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</si>
  <si>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</si>
  <si>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</si>
  <si>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</si>
  <si>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</si>
  <si>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</si>
  <si>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</si>
  <si>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</si>
  <si>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</si>
  <si>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</si>
  <si>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</si>
  <si>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</si>
  <si>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</si>
  <si>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</si>
  <si>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</si>
  <si>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</si>
  <si>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</si>
  <si>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</si>
  <si>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</si>
  <si>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</si>
  <si>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</si>
  <si>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</si>
  <si>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</si>
  <si>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</si>
  <si>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</si>
  <si>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</si>
  <si>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</si>
  <si>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</si>
  <si>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</si>
  <si>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</si>
  <si>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</si>
  <si>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</si>
  <si>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</si>
  <si>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</si>
  <si>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</si>
  <si>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</si>
  <si>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</si>
  <si>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</si>
  <si>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</si>
  <si>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</si>
  <si>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</si>
  <si>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</si>
  <si>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</si>
  <si>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</si>
  <si>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</si>
  <si>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</si>
  <si>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</si>
  <si>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</si>
  <si>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</si>
  <si>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</si>
  <si>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</si>
  <si>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</si>
  <si>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</si>
  <si>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</si>
  <si>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</si>
  <si>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</si>
  <si>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</si>
  <si>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</si>
  <si>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</si>
  <si>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</si>
  <si>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</si>
  <si>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</si>
  <si>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</si>
  <si>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</si>
  <si>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</si>
  <si>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</si>
  <si>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</si>
  <si>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</si>
  <si>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</si>
  <si>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</si>
  <si>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</si>
  <si>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</si>
  <si>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</si>
  <si>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</si>
  <si>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</si>
  <si>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</si>
  <si>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</si>
  <si>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</si>
  <si>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</si>
  <si>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</si>
  <si>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</si>
  <si>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</si>
  <si>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</si>
  <si>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</si>
  <si>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</si>
  <si>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</si>
  <si>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</si>
  <si>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</si>
  <si>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</si>
  <si>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</si>
  <si>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</si>
  <si>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</si>
  <si>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</si>
  <si>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</si>
  <si>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</si>
  <si>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</si>
  <si>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</si>
  <si>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</si>
  <si>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</si>
  <si>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</si>
  <si>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</si>
  <si>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</si>
  <si>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</si>
  <si>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</si>
  <si>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</si>
  <si>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</si>
  <si>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</si>
  <si>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</si>
  <si>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</si>
  <si>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</si>
  <si>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</si>
  <si>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</si>
  <si>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</si>
  <si>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</si>
  <si>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</si>
  <si>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</si>
  <si>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</si>
  <si>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</si>
  <si>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</si>
  <si>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</si>
  <si>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</si>
  <si>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</si>
  <si>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</si>
  <si>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</si>
  <si>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</si>
  <si>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</si>
  <si>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</si>
  <si>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</si>
  <si>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</si>
  <si>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</si>
  <si>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</si>
  <si>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</si>
  <si>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</si>
  <si>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</si>
  <si>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</si>
  <si>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</si>
  <si>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</si>
  <si>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</si>
  <si>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</si>
  <si>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</si>
  <si>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</si>
  <si>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</si>
  <si>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</si>
  <si>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</si>
  <si>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</si>
  <si>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</si>
  <si>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</si>
  <si>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</si>
  <si>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</si>
  <si>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</si>
  <si>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</si>
  <si>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</si>
  <si>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</si>
  <si>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</si>
  <si>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</si>
  <si>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</si>
  <si>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</si>
  <si>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</si>
  <si>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</si>
  <si>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</si>
  <si>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</si>
  <si>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</si>
  <si>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</si>
  <si>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</si>
  <si>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</si>
  <si>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</si>
  <si>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</si>
  <si>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</si>
  <si>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</si>
  <si>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</si>
  <si>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</si>
  <si>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</si>
  <si>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</si>
  <si>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</si>
  <si>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</si>
  <si>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</si>
  <si>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</si>
  <si>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</si>
  <si>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</si>
  <si>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</si>
  <si>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</si>
  <si>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</si>
  <si>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</si>
  <si>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</si>
  <si>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</si>
  <si>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</si>
  <si>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</si>
  <si>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</si>
  <si>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</si>
  <si>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</si>
  <si>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</si>
  <si>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</si>
  <si>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</si>
  <si>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</si>
  <si>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</si>
  <si>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</si>
  <si>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</si>
  <si>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</si>
  <si>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</si>
  <si>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</si>
  <si>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</si>
  <si>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</si>
  <si>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</si>
  <si>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</si>
  <si>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</si>
  <si>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</si>
  <si>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</si>
  <si>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</si>
  <si>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</si>
  <si>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</si>
  <si>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</si>
  <si>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</si>
  <si>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</si>
  <si>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</si>
  <si>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</si>
  <si>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</si>
  <si>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</si>
  <si>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</si>
  <si>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</si>
  <si>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</si>
  <si>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</si>
  <si>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</si>
  <si>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</si>
  <si>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</si>
  <si>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</si>
  <si>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</si>
  <si>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</si>
  <si>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</si>
  <si>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</si>
  <si>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</si>
  <si>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</si>
  <si>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</si>
  <si>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</si>
  <si>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</si>
  <si>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</si>
  <si>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</si>
  <si>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</si>
  <si>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</si>
  <si>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</si>
  <si>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</si>
  <si>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</si>
  <si>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</si>
  <si>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</si>
  <si>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</si>
  <si>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</si>
  <si>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</si>
  <si>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</si>
  <si>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</si>
  <si>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</si>
  <si>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</si>
  <si>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</si>
  <si>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</si>
  <si>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</si>
  <si>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</si>
  <si>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</si>
  <si>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</si>
  <si>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</si>
  <si>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</si>
  <si>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</si>
  <si>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</si>
  <si>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</si>
  <si>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</si>
  <si>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</si>
  <si>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</si>
  <si>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</si>
  <si>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</si>
  <si>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</si>
  <si>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</si>
  <si>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</si>
  <si>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</si>
  <si>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</si>
  <si>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</si>
  <si>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</si>
  <si>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</si>
  <si>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</si>
  <si>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</si>
  <si>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</si>
  <si>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</si>
  <si>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</si>
  <si>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</si>
  <si>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</si>
  <si>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</si>
  <si>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</si>
  <si>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</si>
  <si>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</si>
  <si>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</si>
  <si>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</si>
  <si>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</si>
  <si>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</si>
  <si>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</si>
  <si>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</si>
  <si>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</si>
  <si>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</si>
  <si>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</si>
  <si>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</si>
  <si>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</si>
  <si>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</si>
  <si>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</si>
  <si>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</si>
  <si>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</si>
  <si>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</si>
  <si>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</si>
  <si>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</si>
  <si>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</si>
  <si>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</si>
  <si>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</si>
  <si>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</si>
  <si>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</si>
  <si>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</si>
  <si>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</si>
  <si>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</si>
  <si>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</si>
  <si>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</si>
  <si>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</si>
  <si>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</si>
  <si>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</si>
  <si>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</si>
  <si>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</si>
  <si>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</si>
  <si>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</si>
  <si>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</si>
  <si>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</si>
  <si>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</si>
  <si>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</si>
  <si>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</si>
  <si>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</si>
  <si>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</si>
  <si>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</si>
  <si>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</si>
  <si>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</si>
  <si>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</si>
  <si>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</si>
  <si>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</si>
  <si>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</si>
  <si>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</si>
  <si>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</si>
  <si>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</si>
  <si>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</si>
  <si>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</si>
  <si>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</si>
  <si>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</si>
  <si>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</si>
  <si>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</si>
  <si>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</si>
  <si>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</si>
  <si>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</si>
  <si>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</si>
  <si>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</si>
  <si>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</si>
  <si>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</si>
  <si>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</si>
  <si>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</si>
  <si>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</si>
  <si>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</si>
  <si>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</si>
  <si>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</si>
  <si>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</si>
  <si>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</si>
  <si>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</si>
  <si>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</si>
  <si>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</si>
  <si>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</si>
  <si>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</si>
  <si>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</si>
  <si>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</si>
  <si>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</si>
  <si>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</si>
  <si>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</si>
  <si>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</si>
  <si>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</si>
  <si>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</si>
  <si>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</si>
  <si>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</si>
  <si>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</si>
  <si>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</si>
  <si>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</si>
  <si>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</si>
  <si>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</si>
  <si>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</si>
  <si>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</si>
  <si>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</si>
  <si>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</si>
  <si>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</si>
  <si>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</si>
  <si>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</si>
  <si>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</si>
  <si>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</si>
  <si>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</si>
  <si>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</si>
  <si>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</si>
  <si>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</si>
  <si>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</si>
  <si>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</si>
  <si>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</si>
  <si>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</si>
  <si>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</si>
  <si>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</si>
  <si>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</si>
  <si>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</si>
  <si>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</si>
  <si>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</si>
  <si>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</si>
  <si>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</si>
  <si>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</si>
  <si>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</si>
  <si>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</si>
  <si>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</si>
  <si>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</si>
  <si>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</si>
  <si>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</si>
  <si>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</si>
  <si>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</si>
  <si>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</si>
  <si>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</si>
  <si>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</si>
  <si>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</si>
  <si>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</si>
  <si>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</si>
  <si>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</si>
  <si>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</si>
  <si>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</si>
  <si>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</si>
  <si>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</si>
  <si>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</si>
  <si>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</si>
  <si>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</si>
  <si>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</si>
  <si>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</si>
  <si>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</si>
  <si>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</si>
  <si>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</si>
  <si>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</si>
  <si>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</si>
  <si>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</si>
  <si>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</si>
  <si>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</si>
  <si>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</si>
  <si>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</si>
  <si>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</si>
  <si>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</si>
  <si>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</si>
  <si>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</si>
  <si>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</si>
  <si>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</si>
  <si>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</si>
  <si>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</si>
  <si>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</si>
  <si>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</si>
  <si>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</si>
  <si>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</si>
  <si>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</si>
  <si>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</si>
  <si>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</si>
  <si>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</si>
  <si>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</si>
  <si>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</si>
  <si>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</si>
  <si>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</si>
  <si>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</si>
  <si>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</si>
  <si>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</si>
  <si>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</si>
  <si>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</si>
  <si>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</si>
  <si>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</si>
  <si>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</si>
  <si>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</si>
  <si>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</si>
  <si>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</si>
  <si>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</si>
  <si>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</si>
  <si>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</si>
  <si>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</si>
  <si>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</si>
  <si>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</si>
  <si>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</si>
  <si>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</si>
  <si>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</si>
  <si>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</si>
  <si>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</si>
  <si>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</si>
  <si>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</si>
  <si>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</si>
  <si>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</si>
  <si>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</si>
  <si>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</si>
  <si>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</si>
  <si>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</si>
  <si>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</si>
  <si>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</si>
  <si>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</si>
  <si>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</si>
  <si>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</si>
  <si>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</si>
  <si>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</si>
  <si>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</si>
  <si>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</si>
  <si>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</si>
  <si>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</si>
  <si>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</si>
  <si>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</si>
  <si>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</si>
  <si>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</si>
  <si>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</si>
  <si>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</si>
  <si>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</si>
  <si>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</si>
  <si>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</si>
  <si>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</si>
  <si>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</si>
  <si>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</si>
  <si>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</si>
  <si>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</si>
  <si>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</si>
  <si>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</si>
  <si>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</si>
  <si>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</si>
  <si>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</si>
  <si>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</si>
  <si>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</si>
  <si>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</si>
  <si>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</si>
  <si>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</si>
  <si>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</si>
  <si>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</si>
  <si>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</si>
  <si>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</si>
  <si>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</si>
  <si>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</si>
  <si>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</si>
  <si>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</si>
  <si>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</si>
  <si>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</si>
  <si>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</si>
  <si>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</si>
  <si>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</si>
  <si>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</si>
  <si>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</si>
  <si>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</si>
  <si>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</si>
  <si>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</si>
  <si>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</si>
  <si>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</si>
  <si>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</si>
  <si>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</si>
  <si>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</si>
  <si>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</si>
  <si>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</si>
  <si>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</si>
  <si>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</si>
  <si>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</si>
  <si>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</si>
  <si>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</si>
  <si>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</si>
  <si>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</si>
  <si>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</si>
  <si>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</si>
  <si>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</si>
  <si>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</si>
  <si>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</si>
  <si>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</si>
  <si>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</si>
  <si>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</si>
  <si>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</si>
  <si>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</si>
  <si>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</si>
  <si>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</si>
  <si>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</si>
  <si>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</si>
  <si>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</si>
  <si>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</si>
  <si>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</si>
  <si>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</si>
  <si>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</si>
  <si>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</si>
  <si>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</si>
  <si>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</si>
  <si>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</si>
  <si>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</si>
  <si>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</si>
  <si>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</si>
  <si>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</si>
  <si>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</si>
  <si>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</si>
  <si>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</si>
  <si>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</si>
  <si>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</si>
  <si>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</si>
  <si>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</si>
  <si>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</si>
  <si>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</si>
  <si>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</si>
  <si>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</si>
  <si>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</si>
  <si>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</si>
  <si>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</si>
  <si>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</si>
  <si>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</si>
  <si>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</si>
  <si>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</si>
  <si>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</si>
  <si>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</si>
  <si>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</si>
  <si>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</si>
  <si>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</si>
  <si>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</si>
  <si>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</si>
  <si>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</si>
  <si>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</si>
  <si>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</si>
  <si>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</si>
  <si>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</si>
  <si>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</si>
  <si>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</si>
  <si>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</si>
  <si>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</si>
  <si>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</si>
  <si>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</si>
  <si>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</si>
  <si>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</si>
  <si>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</si>
  <si>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</si>
  <si>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</si>
  <si>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</si>
  <si>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</si>
  <si>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</si>
  <si>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</si>
  <si>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</si>
  <si>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</si>
  <si>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</si>
  <si>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</si>
  <si>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</si>
  <si>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</si>
  <si>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</si>
  <si>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</si>
  <si>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</si>
  <si>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</si>
  <si>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</si>
  <si>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</si>
  <si>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</si>
  <si>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</si>
  <si>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</si>
  <si>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</si>
  <si>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</si>
  <si>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</si>
  <si>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</si>
  <si>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</si>
  <si>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</si>
  <si>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</si>
  <si>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</si>
  <si>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</si>
  <si>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</si>
  <si>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</si>
  <si>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</si>
  <si>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</si>
  <si>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</si>
  <si>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</si>
  <si>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</si>
  <si>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</si>
  <si>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</si>
  <si>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</si>
  <si>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</si>
  <si>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</si>
  <si>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</si>
  <si>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</si>
  <si>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</si>
  <si>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</si>
  <si>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</si>
  <si>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</si>
  <si>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</si>
  <si>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</si>
  <si>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</si>
  <si>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</si>
  <si>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</si>
  <si>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</si>
  <si>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</si>
  <si>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</si>
  <si>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</si>
  <si>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</si>
  <si>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</si>
  <si>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</si>
  <si>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</si>
  <si>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</si>
  <si>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</si>
  <si>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</si>
  <si>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</si>
  <si>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</si>
  <si>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</si>
  <si>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</si>
  <si>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</si>
  <si>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</si>
  <si>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</si>
  <si>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</si>
  <si>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</si>
  <si>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</si>
  <si>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</si>
  <si>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</si>
  <si>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</si>
  <si>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</si>
  <si>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</si>
  <si>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</si>
  <si>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</si>
  <si>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</si>
  <si>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</si>
  <si>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</si>
  <si>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</si>
  <si>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</si>
  <si>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</si>
  <si>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</si>
  <si>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</si>
  <si>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</si>
  <si>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</si>
  <si>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</si>
  <si>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</si>
  <si>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</si>
  <si>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</si>
  <si>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</si>
  <si>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</si>
  <si>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</si>
  <si>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</si>
  <si>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</si>
  <si>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</si>
  <si>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</si>
  <si>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</si>
  <si>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</si>
  <si>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</si>
  <si>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</si>
  <si>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</si>
  <si>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</si>
  <si>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</si>
  <si>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</si>
  <si>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</si>
  <si>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</si>
  <si>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</si>
  <si>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</si>
  <si>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</si>
  <si>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</si>
  <si>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</si>
  <si>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</si>
  <si>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</si>
  <si>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</si>
  <si>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</si>
  <si>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</si>
  <si>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</si>
  <si>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</si>
  <si>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</si>
  <si>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</si>
  <si>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</si>
  <si>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</si>
  <si>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</si>
  <si>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</si>
  <si>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</si>
  <si>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</si>
  <si>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</si>
  <si>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</si>
  <si>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</si>
  <si>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</si>
  <si>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</si>
  <si>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</si>
  <si>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</si>
  <si>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</si>
  <si>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</si>
  <si>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</si>
  <si>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</si>
  <si>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</si>
  <si>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</si>
  <si>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</si>
  <si>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</si>
  <si>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</si>
  <si>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</si>
  <si>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</si>
  <si>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</si>
  <si>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</si>
  <si>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</si>
  <si>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</si>
  <si>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</si>
  <si>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</si>
  <si>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</si>
  <si>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</si>
  <si>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</si>
  <si>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</si>
  <si>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</si>
  <si>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</si>
  <si>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</si>
  <si>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</si>
  <si>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</si>
  <si>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</si>
  <si>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</si>
  <si>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</si>
  <si>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</si>
  <si>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</si>
  <si>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</si>
  <si>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</si>
  <si>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</si>
  <si>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</si>
  <si>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</si>
  <si>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</si>
  <si>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</si>
  <si>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</si>
  <si>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</si>
  <si>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</si>
  <si>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</si>
  <si>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</si>
  <si>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</si>
  <si>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</si>
  <si>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</si>
  <si>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</si>
  <si>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</si>
  <si>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</si>
  <si>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</si>
  <si>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</si>
  <si>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</si>
  <si>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</si>
  <si>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</si>
  <si>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</si>
  <si>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</si>
  <si>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</si>
  <si>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</si>
  <si>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</si>
  <si>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</si>
  <si>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</si>
  <si>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</si>
  <si>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</si>
  <si>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</si>
  <si>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</si>
  <si>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</si>
  <si>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</si>
  <si>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</si>
  <si>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</si>
  <si>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</si>
  <si>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</si>
  <si>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</si>
  <si>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</si>
  <si>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</si>
  <si>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</si>
  <si>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</si>
  <si>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</si>
  <si>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</si>
  <si>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</si>
  <si>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</si>
  <si>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</si>
  <si>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</si>
  <si>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</si>
  <si>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</si>
  <si>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</si>
  <si>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</si>
  <si>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</si>
  <si>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</si>
  <si>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</si>
  <si>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</si>
  <si>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</si>
  <si>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</si>
  <si>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</si>
  <si>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</si>
  <si>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</si>
  <si>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</si>
  <si>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</si>
  <si>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</si>
  <si>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</si>
  <si>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</si>
  <si>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</si>
  <si>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</si>
  <si>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</si>
  <si>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</si>
  <si>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</si>
  <si>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</si>
  <si>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</si>
  <si>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</si>
  <si>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</si>
  <si>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</si>
  <si>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</si>
  <si>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</si>
  <si>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</si>
  <si>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</si>
  <si>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</si>
  <si>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</si>
  <si>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</si>
  <si>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</si>
  <si>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</si>
  <si>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</si>
  <si>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</si>
  <si>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</si>
  <si>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</si>
  <si>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</si>
  <si>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</si>
  <si>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</si>
  <si>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</si>
  <si>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</si>
  <si>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</si>
  <si>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</si>
  <si>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</si>
  <si>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</si>
  <si>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</si>
  <si>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</si>
  <si>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</si>
  <si>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</si>
  <si>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</si>
  <si>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</si>
  <si>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</si>
  <si>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</si>
  <si>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</si>
  <si>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</si>
  <si>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</si>
  <si>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</si>
  <si>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</si>
  <si>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</si>
  <si>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</si>
  <si>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</si>
  <si>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</si>
  <si>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</si>
  <si>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</si>
  <si>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</si>
  <si>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</si>
  <si>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</si>
  <si>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</si>
  <si>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</si>
  <si>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</si>
  <si>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</si>
  <si>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</si>
  <si>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</si>
  <si>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</si>
  <si>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</si>
  <si>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</si>
  <si>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</si>
  <si>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</si>
  <si>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</si>
  <si>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</si>
  <si>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</si>
  <si>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</si>
  <si>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</si>
  <si>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</si>
  <si>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</si>
  <si>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</si>
  <si>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</si>
  <si>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</si>
  <si>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</si>
  <si>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</si>
  <si>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</si>
  <si>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</si>
  <si>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</si>
  <si>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</si>
  <si>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</si>
  <si>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</si>
  <si>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</si>
  <si>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</si>
  <si>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</si>
  <si>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</si>
  <si>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</si>
  <si>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</si>
  <si>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</si>
  <si>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</si>
  <si>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</si>
  <si>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</si>
  <si>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</si>
  <si>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</si>
  <si>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</si>
  <si>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</si>
  <si>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</si>
  <si>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</si>
  <si>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</si>
  <si>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</si>
  <si>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</si>
  <si>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</si>
  <si>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</si>
  <si>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</si>
  <si>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</si>
  <si>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</si>
  <si>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</si>
  <si>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</si>
  <si>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</si>
  <si>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</si>
  <si>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</si>
  <si>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</si>
  <si>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</si>
  <si>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</si>
  <si>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</si>
  <si>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</si>
  <si>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</si>
  <si>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</si>
  <si>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</si>
  <si>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</si>
  <si>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</si>
  <si>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</si>
  <si>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</si>
  <si>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</si>
  <si>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</si>
  <si>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</si>
  <si>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</si>
  <si>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</si>
  <si>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</si>
  <si>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</si>
  <si>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</si>
  <si>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</si>
  <si>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</si>
  <si>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</si>
  <si>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</si>
  <si>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</si>
  <si>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</si>
  <si>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</si>
  <si>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</si>
  <si>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</si>
  <si>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</si>
  <si>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</si>
  <si>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</si>
  <si>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</si>
  <si>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</si>
  <si>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</si>
  <si>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</si>
  <si>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</si>
  <si>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</si>
  <si>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</si>
  <si>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</si>
  <si>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</si>
  <si>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</si>
  <si>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</si>
  <si>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</si>
  <si>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</si>
  <si>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</si>
  <si>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</si>
  <si>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</si>
  <si>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</si>
  <si>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</si>
  <si>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</si>
  <si>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</si>
  <si>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</si>
  <si>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</si>
  <si>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</si>
  <si>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</si>
  <si>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</si>
  <si>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</si>
  <si>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</si>
  <si>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</si>
  <si>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</si>
  <si>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</si>
  <si>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</si>
  <si>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</si>
  <si>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</si>
  <si>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</si>
  <si>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</si>
  <si>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</si>
  <si>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</si>
  <si>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</si>
  <si>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</si>
  <si>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</si>
  <si>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</si>
  <si>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</si>
  <si>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</si>
  <si>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</si>
  <si>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</si>
  <si>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</si>
  <si>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</si>
  <si>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</si>
  <si>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</si>
  <si>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</si>
  <si>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</si>
  <si>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</si>
  <si>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</si>
  <si>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</si>
  <si>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</si>
  <si>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</si>
  <si>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</si>
  <si>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</si>
  <si>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</si>
  <si>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</si>
  <si>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</si>
  <si>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</si>
  <si>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</si>
  <si>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</si>
  <si>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</si>
  <si>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</si>
  <si>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</si>
  <si>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</si>
  <si>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</si>
  <si>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</si>
  <si>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</si>
  <si>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</si>
  <si>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</si>
  <si>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</si>
  <si>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</si>
  <si>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</si>
  <si>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</si>
  <si>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</si>
  <si>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</si>
  <si>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</si>
  <si>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</si>
  <si>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</si>
  <si>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</si>
  <si>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</si>
  <si>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</si>
  <si>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</si>
  <si>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</si>
  <si>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</si>
  <si>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</si>
  <si>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</si>
  <si>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</si>
  <si>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</si>
  <si>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</si>
  <si>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</si>
  <si>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</si>
  <si>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</si>
  <si>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</si>
  <si>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</si>
  <si>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</si>
  <si>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</si>
  <si>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</si>
  <si>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</si>
  <si>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</si>
  <si>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</si>
  <si>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</si>
  <si>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</si>
  <si>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</si>
  <si>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</si>
  <si>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</si>
  <si>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</si>
  <si>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</si>
  <si>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</si>
  <si>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</si>
  <si>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</si>
  <si>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</si>
  <si>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</si>
  <si>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</si>
  <si>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</si>
  <si>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</si>
  <si>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</si>
  <si>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</si>
  <si>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</si>
  <si>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</si>
  <si>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</si>
  <si>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</si>
  <si>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</si>
  <si>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</si>
  <si>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</si>
  <si>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</si>
  <si>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</si>
  <si>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</si>
  <si>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</si>
  <si>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</si>
  <si>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</si>
  <si>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</si>
  <si>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</si>
  <si>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</si>
  <si>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</si>
  <si>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</si>
  <si>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</si>
  <si>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</si>
  <si>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</si>
  <si>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</si>
  <si>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</si>
  <si>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</si>
  <si>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</si>
  <si>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</si>
  <si>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</si>
  <si>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</si>
  <si>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</si>
  <si>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</si>
  <si>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</si>
  <si>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</si>
  <si>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</si>
  <si>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</si>
  <si>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</si>
  <si>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</si>
  <si>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</si>
  <si>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</si>
  <si>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</si>
  <si>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</si>
  <si>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</si>
  <si>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</si>
  <si>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</si>
  <si>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</si>
  <si>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</si>
  <si>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</si>
  <si>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</si>
  <si>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</si>
  <si>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</si>
  <si>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</si>
  <si>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</si>
  <si>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</si>
  <si>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</si>
  <si>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</si>
  <si>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</si>
  <si>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</si>
  <si>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</si>
  <si>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</si>
  <si>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</si>
  <si>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</si>
  <si>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</si>
  <si>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</si>
  <si>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</si>
  <si>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</si>
  <si>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</si>
  <si>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</si>
  <si>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</si>
  <si>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</si>
  <si>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</si>
  <si>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</si>
  <si>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</si>
  <si>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</si>
  <si>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</si>
  <si>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</si>
  <si>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</si>
  <si>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</si>
  <si>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</si>
  <si>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</si>
  <si>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</si>
  <si>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</si>
  <si>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</si>
  <si>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</si>
  <si>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</si>
  <si>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</si>
  <si>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</si>
  <si>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</si>
  <si>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</si>
  <si>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</si>
  <si>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</si>
  <si>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</si>
  <si>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</si>
  <si>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</si>
  <si>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</si>
  <si>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</si>
  <si>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</si>
  <si>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</si>
  <si>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</si>
  <si>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</si>
  <si>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</si>
  <si>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</si>
  <si>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</si>
  <si>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</si>
  <si>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</si>
  <si>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</si>
  <si>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</si>
  <si>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</si>
  <si>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</si>
  <si>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</si>
  <si>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</si>
  <si>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</si>
  <si>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</si>
  <si>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</si>
  <si>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</si>
  <si>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</si>
  <si>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</si>
  <si>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</si>
  <si>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</si>
  <si>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</si>
  <si>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</si>
  <si>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</si>
  <si>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</si>
  <si>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</si>
  <si>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</si>
  <si>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</si>
  <si>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</si>
  <si>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</si>
  <si>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</si>
  <si>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</si>
  <si>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</si>
  <si>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</si>
  <si>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</si>
  <si>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</si>
  <si>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</si>
  <si>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</si>
  <si>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</si>
  <si>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</si>
  <si>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</si>
  <si>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</si>
  <si>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</si>
  <si>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</si>
  <si>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</si>
  <si>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</si>
  <si>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</si>
  <si>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</si>
  <si>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</si>
  <si>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</si>
  <si>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</si>
  <si>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</si>
  <si>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</si>
  <si>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</si>
  <si>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</si>
  <si>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</si>
  <si>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</si>
  <si>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</si>
  <si>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</si>
  <si>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</si>
  <si>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</si>
  <si>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</si>
  <si>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</si>
  <si>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</si>
  <si>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</si>
  <si>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</si>
  <si>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</si>
  <si>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</si>
  <si>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</si>
  <si>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</si>
  <si>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</si>
  <si>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</si>
  <si>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</si>
  <si>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</si>
  <si>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</si>
  <si>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</si>
  <si>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</si>
  <si>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</si>
  <si>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</si>
  <si>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</si>
  <si>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</si>
  <si>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</si>
  <si>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</si>
  <si>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</si>
  <si>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</si>
  <si>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</si>
  <si>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</si>
  <si>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</si>
  <si>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</si>
  <si>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</si>
  <si>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</si>
  <si>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</si>
  <si>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</si>
  <si>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</si>
  <si>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</si>
  <si>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</si>
  <si>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</si>
  <si>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</si>
  <si>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</si>
  <si>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</si>
  <si>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</si>
  <si>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</si>
  <si>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</si>
  <si>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</si>
  <si>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</si>
  <si>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</si>
  <si>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</si>
  <si>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</si>
  <si>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</si>
  <si>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</si>
  <si>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</si>
  <si>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</si>
  <si>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</si>
  <si>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</si>
  <si>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</si>
  <si>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</si>
  <si>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</si>
  <si>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</si>
  <si>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</si>
  <si>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</si>
  <si>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</si>
  <si>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</si>
  <si>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</si>
  <si>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</si>
  <si>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</si>
  <si>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</si>
  <si>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</si>
  <si>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</si>
  <si>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</si>
  <si>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</si>
  <si>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</si>
  <si>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</si>
  <si>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</si>
  <si>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</si>
  <si>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</si>
  <si>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</si>
  <si>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</si>
  <si>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</si>
  <si>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</si>
  <si>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</si>
  <si>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</si>
  <si>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</si>
  <si>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</si>
  <si>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</si>
  <si>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</si>
  <si>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</si>
  <si>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</si>
  <si>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</si>
  <si>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</si>
  <si>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</si>
  <si>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</si>
  <si>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</si>
  <si>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</si>
  <si>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</si>
  <si>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</si>
  <si>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</si>
  <si>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</si>
  <si>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</si>
  <si>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</si>
  <si>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</si>
  <si>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</si>
  <si>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</si>
  <si>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</si>
  <si>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</si>
  <si>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</si>
  <si>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</si>
  <si>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</si>
  <si>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</si>
  <si>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</si>
  <si>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</si>
  <si>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</si>
  <si>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</si>
  <si>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</si>
  <si>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</si>
  <si>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</si>
  <si>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</si>
  <si>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</si>
  <si>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</si>
  <si>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</si>
  <si>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</si>
  <si>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</si>
  <si>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</si>
  <si>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</si>
  <si>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</si>
  <si>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</si>
  <si>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</si>
  <si>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</si>
  <si>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</si>
  <si>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</si>
  <si>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</si>
  <si>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</si>
  <si>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</si>
  <si>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</si>
  <si>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</si>
  <si>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</si>
  <si>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</si>
  <si>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</si>
  <si>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</si>
  <si>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</si>
  <si>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</si>
  <si>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</si>
  <si>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</si>
  <si>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</si>
  <si>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</si>
  <si>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</si>
  <si>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</si>
  <si>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</si>
  <si>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</si>
  <si>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</si>
  <si>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</si>
  <si>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</si>
  <si>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</si>
  <si>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</si>
  <si>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</si>
  <si>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</si>
  <si>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</si>
  <si>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</si>
  <si>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</si>
  <si>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</si>
  <si>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</si>
  <si>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</si>
  <si>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</si>
  <si>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</si>
  <si>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</si>
  <si>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</si>
  <si>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</si>
  <si>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</si>
  <si>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</si>
  <si>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</si>
  <si>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</si>
  <si>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</si>
  <si>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</si>
  <si>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</si>
  <si>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</si>
  <si>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</si>
  <si>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</si>
  <si>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</si>
  <si>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</si>
  <si>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</si>
  <si>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</si>
  <si>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</si>
  <si>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</si>
  <si>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</si>
  <si>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</si>
  <si>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</si>
  <si>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</si>
  <si>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</si>
  <si>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</si>
  <si>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</si>
  <si>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</si>
  <si>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</si>
  <si>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</si>
  <si>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</si>
  <si>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</si>
  <si>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</si>
  <si>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</si>
  <si>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</si>
  <si>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</si>
  <si>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</si>
  <si>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</si>
  <si>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</si>
  <si>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</si>
  <si>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</si>
  <si>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</si>
  <si>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</si>
  <si>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</si>
  <si>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</si>
  <si>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</si>
  <si>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</si>
  <si>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</si>
  <si>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</si>
  <si>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</si>
  <si>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</si>
  <si>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</si>
  <si>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</si>
  <si>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</si>
  <si>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</si>
  <si>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</si>
  <si>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</si>
  <si>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</si>
  <si>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</si>
  <si>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</si>
  <si>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</si>
  <si>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</si>
  <si>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</si>
  <si>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</si>
  <si>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</si>
  <si>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</si>
  <si>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</si>
  <si>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</si>
  <si>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</si>
  <si>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</si>
  <si>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</si>
  <si>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</si>
  <si>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</si>
  <si>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</si>
  <si>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</si>
  <si>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</si>
  <si>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</si>
  <si>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</si>
  <si>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</si>
  <si>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</si>
  <si>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</si>
  <si>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</si>
  <si>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</si>
  <si>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</si>
  <si>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</si>
  <si>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</si>
  <si>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</si>
  <si>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</si>
  <si>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</si>
  <si>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</si>
  <si>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</si>
  <si>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</si>
  <si>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</si>
  <si>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</si>
  <si>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</si>
  <si>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</si>
  <si>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</si>
  <si>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</si>
  <si>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</si>
  <si>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</si>
  <si>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</si>
  <si>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</si>
  <si>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</si>
  <si>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</si>
  <si>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</si>
  <si>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</si>
  <si>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</si>
  <si>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</si>
  <si>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</si>
  <si>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</si>
  <si>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</si>
  <si>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</si>
  <si>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</si>
  <si>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</si>
  <si>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</si>
  <si>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</si>
  <si>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</si>
  <si>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</si>
  <si>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</si>
  <si>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</si>
  <si>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</si>
  <si>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</si>
  <si>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</si>
  <si>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</si>
  <si>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</si>
  <si>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</si>
  <si>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</si>
  <si>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</si>
  <si>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</si>
  <si>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</si>
  <si>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</si>
  <si>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</si>
  <si>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</si>
  <si>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</si>
  <si>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</si>
  <si>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</si>
  <si>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</si>
  <si>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</si>
  <si>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</si>
  <si>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</si>
  <si>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</si>
  <si>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</si>
  <si>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</si>
  <si>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</si>
  <si>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</si>
  <si>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</si>
  <si>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</si>
  <si>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</si>
  <si>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</si>
  <si>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</si>
  <si>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</si>
  <si>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</si>
  <si>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</si>
  <si>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</si>
  <si>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</si>
  <si>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</si>
  <si>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</si>
  <si>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</si>
  <si>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</si>
  <si>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</si>
  <si>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</si>
  <si>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</si>
  <si>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</si>
  <si>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</si>
  <si>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</si>
  <si>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</si>
  <si>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</si>
  <si>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</si>
  <si>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</si>
  <si>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</si>
  <si>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</si>
  <si>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</si>
  <si>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</si>
  <si>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</si>
  <si>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</si>
  <si>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</si>
  <si>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</si>
  <si>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</si>
  <si>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</si>
  <si>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</si>
  <si>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</si>
  <si>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</si>
  <si>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</si>
  <si>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</si>
  <si>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</si>
  <si>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</si>
  <si>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</si>
  <si>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</si>
  <si>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</si>
  <si>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</si>
  <si>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</si>
  <si>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</si>
  <si>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</si>
  <si>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</si>
  <si>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</si>
  <si>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</si>
  <si>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</si>
  <si>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</si>
  <si>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</si>
  <si>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</si>
  <si>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</si>
  <si>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</si>
  <si>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</si>
  <si>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</si>
  <si>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</si>
  <si>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</si>
  <si>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</si>
  <si>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</si>
  <si>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</si>
  <si>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</si>
  <si>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</si>
  <si>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</si>
  <si>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</si>
  <si>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</si>
  <si>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</si>
  <si>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</si>
  <si>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</si>
  <si>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</si>
  <si>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</si>
  <si>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</si>
  <si>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</si>
  <si>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</si>
  <si>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</si>
  <si>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</si>
  <si>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</si>
  <si>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</si>
  <si>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</si>
  <si>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</si>
  <si>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</si>
  <si>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</si>
  <si>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</si>
  <si>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</si>
  <si>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</si>
  <si>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</si>
  <si>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</si>
  <si>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</si>
  <si>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</si>
  <si>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</si>
  <si>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</si>
  <si>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</si>
  <si>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</si>
  <si>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</si>
  <si>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</si>
  <si>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</si>
  <si>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</si>
  <si>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</si>
  <si>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</si>
  <si>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</si>
  <si>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</si>
  <si>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</si>
  <si>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</si>
  <si>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</si>
  <si>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</si>
  <si>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</si>
  <si>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</si>
  <si>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</si>
  <si>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</si>
  <si>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</si>
  <si>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</si>
  <si>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</si>
  <si>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</si>
  <si>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</si>
  <si>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</si>
  <si>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</si>
  <si>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</si>
  <si>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</si>
  <si>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</si>
  <si>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</si>
  <si>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</si>
  <si>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</si>
  <si>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</si>
  <si>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</si>
  <si>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</si>
  <si>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</si>
  <si>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</si>
  <si>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</si>
  <si>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</si>
  <si>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</si>
  <si>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</si>
  <si>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</si>
  <si>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</si>
  <si>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</si>
  <si>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</si>
  <si>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</si>
  <si>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</si>
  <si>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</si>
  <si>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</si>
  <si>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</si>
  <si>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</si>
  <si>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</si>
  <si>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</si>
  <si>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</si>
  <si>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</si>
  <si>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</si>
  <si>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</si>
  <si>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</si>
  <si>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</si>
  <si>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</si>
  <si>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</si>
  <si>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</si>
  <si>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</si>
  <si>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</si>
  <si>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</si>
  <si>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</si>
  <si>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</si>
  <si>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</si>
  <si>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</si>
  <si>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</si>
  <si>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</si>
  <si>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</si>
  <si>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</si>
  <si>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</si>
  <si>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</si>
  <si>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</si>
  <si>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</si>
  <si>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</si>
  <si>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</si>
  <si>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</si>
  <si>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</si>
  <si>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</si>
  <si>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</si>
  <si>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</si>
  <si>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</si>
  <si>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</si>
  <si>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</si>
  <si>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</si>
  <si>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</si>
  <si>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</si>
  <si>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</si>
  <si>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</si>
  <si>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</si>
  <si>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</si>
  <si>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</si>
  <si>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</si>
  <si>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</si>
  <si>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</si>
  <si>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</si>
  <si>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</si>
  <si>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</si>
  <si>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</si>
  <si>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</si>
  <si>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</si>
  <si>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</si>
  <si>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</si>
  <si>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</si>
  <si>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</si>
  <si>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</si>
  <si>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</si>
  <si>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</si>
  <si>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</si>
  <si>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</si>
  <si>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</si>
  <si>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</si>
  <si>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</si>
  <si>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</si>
  <si>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</si>
  <si>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</si>
  <si>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</si>
  <si>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</si>
  <si>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</si>
  <si>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</si>
  <si>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</si>
  <si>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</si>
  <si>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</si>
  <si>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</si>
  <si>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</si>
  <si>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</si>
  <si>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</si>
  <si>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</si>
  <si>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</si>
  <si>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</si>
  <si>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</si>
  <si>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</si>
  <si>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</si>
  <si>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</si>
  <si>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</si>
  <si>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</si>
  <si>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</si>
  <si>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</si>
  <si>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</si>
  <si>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</si>
  <si>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</si>
  <si>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</si>
  <si>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</si>
  <si>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</si>
  <si>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</si>
  <si>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</si>
  <si>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</si>
  <si>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</si>
  <si>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</si>
  <si>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</si>
  <si>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</si>
  <si>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</si>
  <si>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</si>
  <si>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</si>
  <si>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</si>
  <si>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</si>
  <si>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</si>
  <si>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</si>
  <si>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</si>
  <si>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</si>
  <si>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</si>
  <si>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</si>
  <si>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</si>
  <si>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</si>
  <si>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</si>
  <si>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</si>
  <si>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</si>
  <si>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</si>
  <si>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</si>
  <si>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</si>
  <si>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</si>
  <si>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</si>
  <si>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</si>
  <si>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</si>
  <si>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</si>
  <si>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</si>
  <si>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</si>
  <si>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</si>
  <si>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</si>
  <si>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</si>
  <si>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</si>
  <si>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</si>
  <si>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</si>
  <si>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</si>
  <si>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</si>
  <si>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</si>
  <si>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</si>
  <si>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</si>
  <si>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</si>
  <si>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</si>
  <si>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</si>
  <si>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</si>
  <si>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</si>
  <si>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</si>
  <si>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</si>
  <si>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</si>
  <si>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</si>
  <si>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</si>
  <si>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</si>
  <si>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</si>
  <si>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</si>
  <si>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</si>
  <si>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</si>
  <si>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</si>
  <si>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</si>
  <si>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</si>
  <si>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</si>
  <si>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</si>
  <si>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</si>
  <si>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</si>
  <si>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</si>
  <si>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</si>
  <si>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</si>
  <si>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</si>
  <si>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</si>
  <si>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</si>
  <si>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</si>
  <si>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</si>
  <si>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</si>
  <si>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</si>
  <si>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</si>
  <si>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</si>
  <si>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</si>
  <si>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</si>
  <si>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</si>
  <si>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</si>
  <si>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</si>
  <si>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</si>
  <si>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</si>
  <si>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</si>
  <si>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</si>
  <si>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</si>
  <si>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</si>
  <si>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</si>
  <si>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</si>
  <si>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</si>
  <si>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</si>
  <si>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</si>
  <si>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</si>
  <si>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</si>
  <si>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</si>
  <si>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</si>
  <si>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</si>
  <si>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</si>
  <si>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</si>
  <si>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</si>
  <si>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</si>
  <si>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</si>
  <si>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</si>
  <si>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</si>
  <si>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</si>
  <si>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</si>
  <si>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</si>
  <si>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</si>
  <si>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</si>
  <si>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</si>
  <si>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</si>
  <si>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</si>
  <si>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</si>
  <si>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</si>
  <si>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</si>
  <si>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</si>
  <si>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</si>
  <si>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</si>
  <si>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</si>
  <si>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</si>
  <si>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</si>
  <si>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</si>
  <si>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</si>
  <si>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</si>
  <si>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</si>
  <si>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</si>
  <si>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</si>
  <si>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</si>
  <si>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</si>
  <si>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</si>
  <si>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</si>
  <si>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</si>
  <si>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</si>
  <si>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</si>
  <si>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</si>
  <si>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</si>
  <si>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</si>
  <si>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</si>
  <si>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</si>
  <si>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</si>
  <si>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</si>
  <si>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</si>
  <si>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</si>
  <si>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</si>
  <si>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</si>
  <si>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</si>
  <si>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</si>
  <si>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</si>
  <si>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</si>
  <si>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</si>
  <si>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</si>
  <si>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</si>
  <si>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</si>
  <si>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</si>
  <si>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</si>
  <si>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</si>
  <si>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</si>
  <si>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</si>
  <si>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</si>
  <si>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</si>
  <si>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</si>
  <si>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</si>
  <si>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</si>
  <si>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</si>
  <si>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</si>
  <si>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</si>
  <si>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</si>
  <si>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</si>
  <si>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</si>
  <si>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</si>
  <si>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</si>
  <si>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</si>
  <si>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</si>
  <si>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</si>
  <si>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</si>
  <si>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</si>
  <si>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</si>
  <si>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</si>
  <si>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</si>
  <si>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</si>
  <si>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</si>
  <si>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</si>
  <si>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</si>
  <si>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</si>
  <si>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</si>
  <si>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</si>
  <si>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</si>
  <si>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</si>
  <si>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</si>
  <si>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</si>
  <si>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</si>
  <si>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</si>
  <si>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</si>
  <si>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</si>
  <si>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</si>
  <si>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</si>
  <si>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</si>
  <si>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</si>
  <si>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</si>
  <si>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</si>
  <si>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</si>
  <si>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</si>
  <si>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</si>
  <si>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</si>
  <si>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</si>
  <si>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</si>
  <si>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</si>
  <si>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</si>
  <si>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</si>
  <si>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</si>
  <si>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</si>
  <si>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</si>
  <si>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</si>
  <si>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</si>
  <si>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</si>
  <si>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</si>
  <si>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</si>
  <si>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</si>
  <si>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</si>
  <si>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</si>
  <si>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</si>
  <si>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</si>
  <si>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</si>
  <si>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</si>
  <si>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</si>
  <si>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</si>
  <si>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</si>
  <si>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</si>
  <si>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</si>
  <si>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</si>
  <si>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</si>
  <si>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</si>
  <si>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</si>
  <si>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</si>
  <si>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</si>
  <si>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</si>
  <si>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</si>
  <si>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</si>
  <si>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</si>
  <si>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</si>
  <si>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</si>
  <si>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</si>
  <si>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</si>
  <si>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</si>
  <si>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</si>
  <si>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</si>
  <si>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</si>
  <si>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</si>
  <si>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</si>
  <si>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</si>
  <si>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</si>
  <si>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</si>
  <si>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</si>
  <si>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</si>
  <si>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</si>
  <si>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</si>
  <si>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</si>
  <si>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</si>
  <si>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</si>
  <si>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</si>
  <si>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</si>
  <si>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</si>
  <si>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</si>
  <si>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</si>
  <si>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</si>
  <si>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</si>
  <si>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</si>
  <si>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</si>
  <si>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</si>
  <si>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</si>
  <si>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</si>
  <si>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</si>
  <si>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</si>
  <si>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</si>
  <si>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</si>
  <si>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</si>
  <si>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</si>
  <si>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</si>
  <si>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</si>
  <si>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</si>
  <si>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</si>
  <si>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</si>
  <si>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</si>
  <si>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</si>
  <si>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</si>
  <si>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</si>
  <si>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</si>
  <si>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</si>
  <si>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</si>
  <si>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</si>
  <si>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</si>
  <si>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</si>
  <si>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</si>
  <si>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</si>
  <si>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</si>
  <si>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</si>
  <si>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</si>
  <si>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</si>
  <si>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</si>
  <si>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</si>
  <si>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</si>
  <si>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</si>
  <si>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</si>
  <si>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</si>
  <si>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</si>
  <si>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</si>
  <si>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</si>
  <si>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</si>
  <si>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</si>
  <si>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</si>
  <si>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</si>
  <si>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</si>
  <si>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</si>
  <si>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</si>
  <si>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</si>
  <si>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</si>
  <si>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</si>
  <si>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</si>
  <si>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</si>
  <si>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</si>
  <si>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</si>
  <si>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</si>
  <si>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</si>
  <si>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</si>
  <si>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</si>
  <si>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</si>
  <si>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</si>
  <si>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</si>
  <si>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</si>
  <si>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</si>
  <si>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</si>
  <si>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</si>
  <si>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</si>
  <si>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</si>
  <si>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</si>
  <si>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</si>
  <si>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</si>
  <si>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</si>
  <si>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</si>
  <si>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</si>
  <si>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</si>
  <si>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</si>
  <si>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</si>
  <si>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</si>
  <si>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</si>
  <si>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</si>
  <si>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</si>
  <si>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</si>
  <si>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</si>
  <si>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</si>
  <si>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</si>
  <si>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</si>
  <si>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</si>
  <si>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</si>
  <si>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</si>
  <si>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</si>
  <si>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</si>
  <si>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</si>
  <si>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</si>
  <si>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</si>
  <si>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</si>
  <si>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</si>
  <si>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</si>
  <si>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</si>
  <si>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</si>
  <si>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</si>
  <si>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</si>
  <si>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</si>
  <si>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</si>
  <si>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</si>
  <si>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</si>
  <si>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</si>
  <si>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</si>
  <si>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</si>
  <si>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</si>
  <si>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</si>
  <si>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</si>
  <si>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</si>
  <si>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</si>
  <si>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</si>
  <si>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</si>
  <si>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</si>
  <si>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</si>
  <si>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</si>
  <si>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</si>
  <si>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</si>
  <si>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</si>
  <si>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</si>
  <si>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</si>
  <si>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</si>
  <si>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</si>
  <si>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</si>
  <si>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</si>
  <si>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</si>
  <si>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</si>
  <si>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</si>
  <si>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</si>
  <si>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</si>
  <si>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</si>
  <si>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</si>
  <si>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</si>
  <si>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</si>
  <si>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</si>
  <si>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</si>
  <si>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</si>
  <si>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</si>
  <si>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</si>
  <si>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</si>
  <si>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</si>
  <si>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</si>
  <si>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</si>
  <si>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</si>
  <si>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</si>
  <si>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</si>
  <si>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</si>
  <si>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</si>
  <si>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</si>
  <si>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</si>
  <si>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</si>
  <si>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</si>
  <si>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</si>
  <si>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</si>
  <si>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</si>
  <si>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</si>
  <si>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</si>
  <si>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</si>
  <si>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</si>
  <si>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</si>
  <si>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</si>
  <si>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</si>
  <si>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</si>
  <si>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</si>
  <si>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</si>
  <si>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</si>
  <si>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</si>
  <si>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</si>
  <si>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</si>
  <si>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</si>
  <si>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</si>
  <si>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</si>
  <si>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</si>
  <si>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</si>
  <si>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</si>
  <si>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</si>
  <si>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</si>
  <si>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</si>
  <si>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</si>
  <si>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</si>
  <si>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</si>
  <si>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</si>
  <si>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</si>
  <si>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</si>
  <si>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</si>
  <si>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</si>
  <si>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</si>
  <si>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</si>
  <si>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</si>
  <si>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</si>
  <si>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</si>
  <si>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</si>
  <si>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</si>
  <si>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</si>
  <si>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</si>
  <si>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</si>
  <si>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</si>
  <si>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</si>
  <si>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</si>
  <si>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</si>
  <si>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</si>
  <si>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</si>
  <si>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</si>
  <si>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</si>
  <si>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</si>
  <si>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</si>
  <si>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</si>
  <si>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</si>
  <si>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</si>
  <si>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</si>
  <si>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</si>
  <si>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</si>
  <si>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</si>
  <si>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</si>
  <si>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</si>
  <si>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</si>
  <si>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</si>
  <si>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</si>
  <si>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</si>
  <si>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</si>
  <si>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</si>
  <si>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</si>
  <si>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</si>
  <si>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</si>
  <si>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</si>
  <si>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</si>
  <si>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</si>
  <si>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</si>
  <si>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</si>
  <si>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</si>
  <si>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</si>
  <si>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</si>
  <si>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</si>
  <si>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</si>
  <si>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</si>
  <si>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</si>
  <si>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</si>
  <si>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</si>
  <si>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</si>
  <si>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</si>
  <si>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</si>
  <si>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</si>
  <si>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</si>
  <si>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</si>
  <si>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</si>
  <si>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</si>
  <si>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</si>
  <si>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</si>
  <si>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</si>
  <si>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</si>
  <si>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</si>
  <si>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</si>
  <si>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</si>
  <si>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</si>
  <si>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</si>
  <si>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</si>
  <si>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</si>
  <si>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</si>
  <si>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</si>
  <si>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</si>
  <si>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</si>
  <si>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</si>
  <si>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</si>
  <si>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</si>
  <si>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</si>
  <si>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</si>
  <si>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</si>
  <si>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</si>
  <si>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</si>
  <si>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</si>
  <si>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</si>
  <si>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</si>
  <si>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</si>
  <si>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</si>
  <si>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</si>
  <si>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</si>
  <si>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</si>
  <si>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</si>
  <si>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</si>
  <si>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</si>
  <si>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</si>
  <si>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</si>
  <si>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</si>
  <si>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</si>
  <si>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</si>
  <si>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</si>
  <si>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</si>
  <si>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</si>
  <si>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</si>
  <si>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</si>
  <si>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</si>
  <si>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</si>
  <si>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</si>
  <si>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</si>
  <si>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</si>
  <si>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</si>
  <si>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</si>
  <si>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</si>
  <si>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</si>
  <si>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</si>
  <si>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</si>
  <si>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</si>
  <si>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</si>
  <si>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</si>
  <si>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</si>
  <si>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</si>
  <si>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</si>
  <si>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</si>
  <si>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</si>
  <si>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</si>
  <si>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</si>
  <si>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</si>
  <si>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</si>
  <si>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</si>
  <si>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</si>
  <si>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</si>
  <si>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</si>
  <si>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</si>
  <si>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</si>
  <si>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</si>
  <si>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</si>
  <si>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</si>
  <si>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</si>
  <si>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</si>
  <si>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</si>
  <si>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</si>
  <si>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</si>
  <si>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</si>
  <si>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</si>
  <si>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</si>
  <si>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</si>
  <si>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</si>
  <si>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</si>
  <si>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</si>
  <si>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</si>
  <si>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</si>
  <si>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</si>
  <si>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</si>
  <si>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</si>
  <si>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</si>
  <si>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</si>
  <si>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</si>
  <si>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</si>
  <si>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</si>
  <si>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</si>
  <si>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</si>
  <si>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</si>
  <si>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</si>
  <si>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</si>
  <si>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</si>
  <si>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</si>
  <si>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</si>
  <si>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</si>
  <si>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</si>
  <si>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</si>
  <si>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</si>
  <si>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</si>
  <si>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</si>
  <si>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</si>
  <si>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</si>
  <si>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</si>
  <si>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</si>
  <si>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</si>
  <si>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</si>
  <si>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</si>
  <si>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</si>
  <si>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</si>
  <si>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</si>
  <si>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</si>
  <si>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</si>
  <si>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</si>
  <si>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</si>
  <si>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</si>
  <si>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</si>
  <si>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</si>
  <si>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</si>
  <si>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</si>
  <si>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</si>
  <si>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</si>
  <si>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</si>
  <si>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</si>
  <si>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</si>
  <si>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</si>
  <si>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</si>
  <si>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</si>
  <si>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</si>
  <si>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</si>
  <si>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</si>
  <si>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</si>
  <si>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</si>
  <si>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</si>
  <si>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</si>
  <si>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</si>
  <si>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</si>
  <si>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</si>
  <si>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</si>
  <si>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</si>
  <si>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</si>
  <si>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</si>
  <si>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</si>
  <si>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</si>
  <si>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</si>
  <si>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</si>
  <si>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</si>
  <si>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</si>
  <si>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</si>
  <si>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</si>
  <si>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</si>
  <si>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</si>
  <si>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</si>
  <si>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</si>
  <si>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</si>
  <si>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</si>
  <si>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</si>
  <si>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</si>
  <si>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</si>
  <si>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</si>
  <si>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</si>
  <si>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</si>
  <si>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</si>
  <si>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</si>
  <si>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</si>
  <si>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</si>
  <si>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</si>
  <si>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</si>
  <si>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</si>
  <si>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</si>
  <si>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</si>
  <si>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</si>
  <si>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</si>
  <si>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</si>
  <si>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</si>
  <si>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</si>
  <si>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</si>
  <si>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</si>
  <si>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</si>
  <si>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</si>
  <si>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</si>
  <si>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</si>
  <si>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</si>
  <si>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</si>
  <si>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</si>
  <si>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</si>
  <si>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</si>
  <si>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</si>
  <si>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</si>
  <si>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</si>
  <si>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</si>
  <si>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</si>
  <si>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</si>
  <si>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</si>
  <si>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</si>
  <si>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</si>
  <si>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</si>
  <si>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</si>
  <si>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</si>
  <si>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</si>
  <si>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</si>
  <si>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</si>
  <si>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</si>
  <si>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</si>
  <si>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</si>
  <si>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</si>
  <si>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</si>
  <si>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</si>
  <si>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</si>
  <si>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</si>
  <si>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</si>
  <si>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</si>
  <si>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</si>
  <si>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</si>
  <si>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</si>
  <si>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</si>
  <si>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</si>
  <si>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</si>
  <si>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</si>
  <si>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</si>
  <si>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</si>
  <si>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</si>
  <si>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</si>
  <si>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</si>
  <si>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</si>
  <si>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</si>
  <si>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</si>
  <si>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</si>
  <si>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</si>
  <si>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</si>
  <si>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</si>
  <si>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</si>
  <si>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</si>
  <si>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</si>
  <si>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</si>
  <si>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</si>
  <si>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</si>
  <si>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</si>
  <si>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</si>
  <si>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</si>
  <si>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</si>
  <si>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</si>
  <si>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</si>
  <si>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</si>
  <si>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</si>
  <si>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</si>
  <si>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</si>
  <si>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</si>
  <si>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</si>
  <si>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</si>
  <si>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</si>
  <si>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</si>
  <si>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</si>
  <si>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</si>
  <si>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</si>
  <si>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</si>
  <si>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</si>
  <si>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</si>
  <si>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</si>
  <si>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</si>
  <si>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</si>
  <si>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</si>
  <si>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</si>
  <si>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</si>
  <si>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</si>
  <si>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</si>
  <si>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</si>
  <si>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</si>
  <si>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</si>
  <si>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</si>
  <si>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</si>
  <si>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</si>
  <si>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</si>
  <si>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</si>
  <si>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</si>
  <si>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</si>
  <si>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</si>
  <si>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</si>
  <si>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</si>
  <si>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</si>
  <si>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</si>
  <si>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</si>
  <si>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</si>
  <si>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</si>
  <si>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</si>
  <si>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</si>
  <si>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</si>
  <si>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</si>
  <si>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</si>
  <si>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</si>
  <si>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</si>
  <si>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</si>
  <si>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</si>
  <si>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</si>
  <si>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</si>
  <si>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</si>
  <si>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</si>
  <si>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</si>
  <si>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</si>
  <si>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</si>
  <si>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</si>
  <si>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</si>
  <si>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</si>
  <si>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</si>
  <si>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</si>
  <si>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</si>
  <si>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</si>
  <si>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</si>
  <si>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</si>
  <si>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</si>
  <si>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</si>
  <si>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</si>
  <si>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</si>
  <si>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</si>
  <si>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</si>
  <si>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</si>
  <si>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</si>
  <si>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</si>
  <si>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</si>
  <si>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</si>
  <si>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</si>
  <si>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</si>
  <si>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</si>
  <si>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</si>
  <si>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</si>
  <si>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</si>
  <si>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</si>
  <si>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</si>
  <si>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</si>
  <si>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</si>
  <si>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</si>
  <si>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</si>
  <si>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</si>
  <si>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</si>
  <si>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</si>
  <si>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</si>
  <si>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</si>
  <si>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</si>
  <si>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</si>
  <si>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</si>
  <si>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</si>
  <si>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</si>
  <si>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</si>
  <si>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</si>
  <si>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</si>
  <si>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</si>
  <si>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</si>
  <si>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</si>
  <si>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</si>
  <si>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</si>
  <si>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</si>
  <si>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</si>
  <si>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</si>
  <si>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</si>
  <si>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</si>
  <si>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</si>
  <si>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</si>
  <si>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</si>
  <si>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</si>
  <si>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</si>
  <si>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</si>
  <si>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</si>
  <si>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</si>
  <si>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</si>
  <si>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</si>
  <si>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</si>
  <si>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</si>
  <si>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</si>
  <si>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</si>
  <si>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</si>
  <si>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</si>
  <si>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</si>
  <si>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</si>
  <si>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</si>
  <si>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</si>
  <si>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</si>
  <si>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</si>
  <si>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</si>
  <si>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</si>
  <si>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</si>
  <si>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</si>
  <si>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</si>
  <si>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</si>
  <si>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</si>
  <si>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</si>
  <si>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</si>
  <si>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</si>
  <si>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</si>
  <si>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</si>
  <si>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</si>
  <si>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</si>
  <si>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</si>
  <si>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</si>
  <si>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</si>
  <si>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</si>
  <si>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</si>
  <si>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</si>
  <si>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</si>
  <si>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</si>
  <si>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</si>
  <si>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</si>
  <si>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</si>
  <si>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</si>
  <si>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</si>
  <si>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</si>
  <si>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</si>
  <si>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</si>
  <si>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</si>
  <si>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</si>
  <si>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</si>
  <si>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</si>
  <si>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</si>
  <si>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</si>
  <si>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</si>
  <si>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</si>
  <si>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</si>
  <si>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</si>
  <si>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</si>
  <si>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</si>
  <si>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</si>
  <si>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</si>
  <si>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</si>
  <si>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</si>
  <si>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</si>
  <si>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</si>
  <si>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</si>
  <si>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</si>
  <si>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</si>
  <si>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</si>
  <si>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</si>
  <si>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</si>
  <si>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</si>
  <si>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</si>
  <si>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</si>
  <si>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</si>
  <si>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</si>
  <si>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</si>
  <si>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</si>
  <si>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</si>
  <si>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</si>
  <si>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</si>
  <si>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</si>
  <si>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</si>
  <si>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</si>
  <si>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</si>
  <si>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</si>
  <si>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</si>
  <si>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</si>
  <si>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</si>
  <si>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</si>
  <si>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</si>
  <si>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</si>
  <si>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</si>
  <si>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</si>
  <si>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</si>
  <si>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</si>
  <si>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</si>
  <si>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</si>
  <si>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</si>
  <si>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</si>
  <si>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</si>
  <si>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</si>
  <si>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</si>
  <si>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</si>
  <si>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</si>
  <si>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</si>
  <si>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</si>
  <si>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</si>
  <si>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</si>
  <si>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</si>
  <si>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</si>
  <si>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</si>
  <si>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</si>
  <si>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</si>
  <si>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</si>
  <si>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</si>
  <si>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</si>
  <si>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</si>
  <si>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</si>
  <si>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</si>
  <si>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</si>
  <si>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</si>
  <si>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</si>
  <si>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</si>
  <si>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</si>
  <si>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</si>
  <si>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</si>
  <si>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</si>
  <si>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</si>
  <si>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</si>
  <si>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</si>
  <si>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</si>
  <si>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</si>
  <si>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</si>
  <si>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</si>
  <si>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</si>
  <si>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</si>
  <si>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</si>
  <si>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</si>
  <si>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</si>
  <si>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</si>
  <si>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</si>
  <si>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</si>
  <si>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</si>
  <si>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</si>
  <si>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</si>
  <si>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</si>
  <si>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</si>
  <si>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</si>
  <si>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</si>
  <si>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</si>
  <si>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</si>
  <si>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</si>
  <si>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</si>
  <si>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</si>
  <si>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</si>
  <si>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</si>
  <si>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</si>
  <si>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</si>
  <si>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</si>
  <si>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</si>
  <si>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</si>
  <si>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</si>
  <si>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</si>
  <si>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</si>
  <si>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</si>
  <si>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</si>
  <si>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</si>
  <si>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</si>
  <si>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</si>
  <si>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</si>
  <si>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</si>
  <si>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</si>
  <si>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</si>
  <si>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</si>
  <si>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</si>
  <si>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</si>
  <si>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</si>
  <si>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</si>
  <si>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</si>
  <si>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</si>
  <si>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</si>
  <si>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</si>
  <si>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</si>
  <si>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</si>
  <si>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</si>
  <si>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</si>
  <si>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</si>
  <si>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</si>
  <si>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</si>
  <si>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</si>
  <si>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</si>
  <si>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</si>
  <si>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</si>
  <si>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</si>
  <si>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</si>
  <si>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</si>
  <si>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</si>
  <si>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</si>
  <si>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</si>
  <si>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</si>
  <si>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</si>
  <si>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</si>
  <si>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</si>
  <si>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</si>
  <si>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</si>
  <si>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</si>
  <si>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</si>
  <si>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</si>
  <si>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</si>
  <si>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</si>
  <si>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</si>
  <si>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</si>
  <si>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</si>
  <si>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</si>
  <si>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</si>
  <si>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</si>
  <si>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</si>
  <si>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</si>
  <si>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</si>
  <si>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</si>
  <si>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</si>
  <si>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</si>
  <si>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</si>
  <si>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</si>
  <si>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</si>
  <si>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</si>
  <si>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</si>
  <si>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</si>
  <si>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</si>
  <si>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</si>
  <si>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</si>
  <si>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</si>
  <si>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</si>
  <si>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</si>
  <si>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</si>
  <si>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</si>
  <si>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</si>
  <si>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</si>
  <si>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</si>
  <si>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</si>
  <si>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</si>
  <si>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</si>
  <si>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</si>
  <si>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</si>
  <si>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</si>
  <si>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</si>
  <si>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</si>
  <si>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</si>
  <si>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</si>
  <si>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</si>
  <si>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</si>
  <si>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</si>
  <si>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</si>
  <si>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</si>
  <si>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</si>
  <si>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</si>
  <si>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</si>
  <si>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</si>
  <si>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</si>
  <si>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</si>
  <si>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</si>
  <si>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</si>
  <si>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</si>
  <si>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</si>
  <si>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</si>
  <si>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</si>
  <si>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</si>
  <si>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</si>
  <si>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</si>
  <si>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</si>
  <si>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</si>
  <si>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</si>
  <si>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</si>
  <si>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</si>
  <si>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</si>
  <si>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</si>
  <si>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</si>
  <si>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</si>
  <si>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</si>
  <si>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</si>
  <si>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</si>
  <si>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</si>
  <si>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</si>
  <si>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</si>
  <si>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</si>
  <si>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</si>
  <si>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</si>
  <si>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</si>
  <si>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</si>
  <si>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</si>
  <si>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</si>
  <si>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</si>
  <si>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</si>
  <si>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</si>
  <si>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</si>
  <si>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</si>
  <si>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</si>
  <si>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</si>
  <si>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</si>
  <si>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</si>
  <si>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</si>
  <si>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</si>
  <si>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</si>
  <si>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</si>
  <si>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</si>
  <si>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</si>
  <si>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</si>
  <si>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</si>
  <si>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</si>
  <si>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</si>
  <si>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</si>
  <si>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</si>
  <si>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</si>
  <si>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</si>
  <si>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</si>
  <si>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</si>
  <si>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</si>
  <si>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</si>
  <si>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</si>
  <si>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</si>
  <si>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</si>
  <si>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</si>
  <si>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</si>
  <si>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</si>
  <si>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</si>
  <si>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</si>
  <si>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</si>
  <si>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</si>
  <si>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</si>
  <si>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</si>
  <si>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</si>
  <si>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</si>
  <si>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</si>
  <si>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</si>
  <si>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</si>
  <si>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</si>
  <si>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</si>
  <si>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</si>
  <si>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</si>
  <si>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</si>
  <si>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</si>
  <si>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</si>
  <si>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</si>
  <si>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</si>
  <si>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</si>
  <si>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</si>
  <si>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</si>
  <si>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</si>
  <si>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</si>
  <si>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</si>
  <si>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</si>
  <si>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</si>
  <si>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</si>
  <si>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</si>
  <si>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</si>
  <si>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</si>
  <si>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</si>
  <si>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</si>
  <si>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</si>
  <si>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</si>
  <si>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</si>
  <si>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</si>
  <si>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</si>
  <si>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</si>
  <si>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</si>
  <si>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</si>
  <si>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</si>
  <si>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</si>
  <si>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</si>
  <si>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</si>
  <si>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</si>
  <si>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</si>
  <si>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</si>
  <si>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</si>
  <si>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</si>
  <si>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</si>
  <si>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</si>
  <si>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</si>
  <si>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</si>
  <si>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</si>
  <si>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</si>
  <si>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</si>
  <si>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</si>
  <si>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</si>
  <si>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</si>
  <si>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</si>
  <si>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</si>
  <si>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</si>
  <si>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</si>
  <si>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</si>
  <si>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</si>
  <si>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</si>
  <si>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</si>
  <si>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</si>
  <si>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</si>
  <si>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</si>
  <si>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</si>
  <si>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</si>
  <si>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</si>
  <si>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</si>
  <si>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</si>
  <si>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</si>
  <si>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</si>
  <si>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</si>
  <si>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</si>
  <si>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</si>
  <si>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</si>
  <si>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</si>
  <si>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</si>
  <si>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</si>
  <si>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</si>
  <si>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</si>
  <si>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</si>
  <si>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</si>
  <si>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</si>
  <si>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</si>
  <si>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</si>
  <si>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</si>
  <si>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</si>
  <si>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</si>
  <si>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</si>
  <si>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</si>
  <si>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</si>
  <si>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</si>
  <si>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</si>
  <si>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</si>
  <si>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</si>
  <si>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</si>
  <si>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</si>
  <si>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</si>
  <si>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</si>
  <si>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</si>
  <si>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</si>
  <si>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</si>
  <si>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</si>
  <si>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</si>
  <si>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</si>
  <si>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</si>
  <si>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</si>
  <si>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</si>
  <si>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</si>
  <si>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</si>
  <si>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</si>
  <si>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</si>
  <si>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</si>
  <si>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</si>
  <si>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</si>
  <si>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</si>
  <si>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</si>
  <si>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</si>
  <si>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</si>
  <si>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</si>
  <si>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</si>
  <si>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</si>
  <si>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</si>
  <si>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</si>
  <si>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</si>
  <si>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</si>
  <si>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</si>
  <si>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</si>
  <si>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</si>
  <si>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</si>
  <si>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</si>
  <si>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</si>
  <si>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</si>
  <si>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</si>
  <si>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</si>
  <si>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</si>
  <si>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</si>
  <si>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</si>
  <si>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</si>
  <si>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</si>
  <si>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</si>
  <si>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</si>
  <si>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</si>
  <si>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</si>
  <si>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</si>
  <si>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</si>
  <si>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</si>
  <si>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</si>
  <si>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</si>
  <si>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</si>
  <si>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</si>
  <si>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</si>
  <si>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</si>
  <si>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</si>
  <si>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</si>
  <si>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</si>
  <si>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</si>
  <si>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</si>
  <si>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</si>
  <si>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</si>
  <si>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</si>
  <si>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</si>
  <si>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</si>
  <si>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</si>
  <si>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</si>
  <si>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</si>
  <si>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</si>
  <si>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</si>
  <si>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</si>
  <si>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</si>
  <si>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</si>
  <si>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</si>
  <si>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</si>
  <si>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</si>
  <si>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</si>
  <si>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</si>
  <si>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</si>
  <si>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</si>
  <si>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</si>
  <si>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</si>
  <si>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DUNS</t>
  </si>
  <si>
    <t>4001 Calle Tecate, Camarillo, CSA 93012</t>
  </si>
  <si>
    <t>Miriam Guerrero</t>
  </si>
  <si>
    <t>mguerrero@johansontechnology.com</t>
  </si>
  <si>
    <t>1-805-389-1166</t>
  </si>
  <si>
    <t>Sheldon Peters</t>
  </si>
  <si>
    <t>Specification Review Technician</t>
  </si>
  <si>
    <t>speterd@johansondielectrics.com</t>
  </si>
  <si>
    <t>100%</t>
  </si>
  <si>
    <t>JOHANSON DIELECTRICS INC.</t>
  </si>
  <si>
    <t>Originates from both recycled and scrap sources</t>
  </si>
  <si>
    <t>https://www.johansondielectrics.com/docs/4828/conflict-minerals-statement-jdi_hVl8JLK.pdf</t>
  </si>
  <si>
    <t>05-643-0820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</si>
</sst>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2392453</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guerrero@johansontechnolog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johansondielectrics.com/docs/4828/conflict-minerals-statement-jdi_hVl8JLK.pdf" TargetMode="External"/><Relationship Id="rId4" Type="http://schemas.openxmlformats.org/officeDocument/2006/relationships/hyperlink" Target="mailto:speterd@johansondielectr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4"/>
  <cols>
    <col min="1" max="1" width="0.8203125" customWidth="1"/>
    <col min="2" max="2" width="8" customWidth="1"/>
    <col min="3" max="3" width="8.5859375" customWidth="1"/>
    <col min="4" max="4" width="13" style="164" customWidth="1"/>
    <col min="5" max="5" width="42.3515625" customWidth="1"/>
    <col min="6" max="6" width="53.3515625" customWidth="1"/>
    <col min="7" max="7" width="0.8203125" customWidth="1"/>
  </cols>
  <sheetData>
    <row r="1" spans="1:7" ht="12.75" thickTop="1">
      <c r="A1" s="6"/>
      <c r="B1" s="7"/>
      <c r="C1" s="7"/>
      <c r="D1" s="158"/>
      <c r="E1" s="7"/>
      <c r="F1" s="7"/>
      <c r="G1" s="8"/>
    </row>
    <row r="2" spans="1:7">
      <c r="A2" s="370"/>
      <c r="B2" s="4" t="s">
        <v>807</v>
      </c>
      <c r="C2" s="2"/>
      <c r="D2" s="159"/>
      <c r="E2" s="2"/>
      <c r="F2" s="2"/>
      <c r="G2" s="24"/>
    </row>
    <row r="3" spans="1:7">
      <c r="A3" s="370"/>
      <c r="B3" s="2" t="s">
        <v>800</v>
      </c>
      <c r="C3" s="4"/>
      <c r="D3" s="160"/>
      <c r="E3" s="2"/>
      <c r="F3" s="4"/>
      <c r="G3" s="24"/>
    </row>
    <row r="4" spans="1:7" ht="15">
      <c r="A4" s="370"/>
      <c r="B4" s="27" t="s">
        <v>809</v>
      </c>
      <c r="C4" s="5"/>
      <c r="D4" s="161"/>
      <c r="E4" s="2"/>
      <c r="F4" s="5"/>
      <c r="G4" s="24"/>
    </row>
    <row r="5" spans="1:7" ht="12.75">
      <c r="A5" s="370"/>
      <c r="B5" s="26" t="s">
        <v>998</v>
      </c>
      <c r="C5" s="3"/>
      <c r="D5" s="162"/>
      <c r="E5" s="2"/>
      <c r="F5" s="3"/>
      <c r="G5" s="24"/>
    </row>
    <row r="6" spans="1:7">
      <c r="A6" s="370"/>
      <c r="B6" s="2"/>
      <c r="C6" s="2"/>
      <c r="D6" s="159"/>
      <c r="E6" s="2"/>
      <c r="F6" s="2"/>
      <c r="G6" s="24"/>
    </row>
    <row r="7" spans="1:7">
      <c r="A7" s="370"/>
      <c r="B7" s="2"/>
      <c r="C7" s="2"/>
      <c r="D7" s="159"/>
      <c r="E7" s="2"/>
      <c r="F7" s="2"/>
      <c r="G7" s="24"/>
    </row>
    <row r="8" spans="1:7">
      <c r="A8" s="370"/>
      <c r="B8" s="2"/>
      <c r="C8" s="2"/>
      <c r="D8" s="159"/>
      <c r="E8" s="2"/>
      <c r="F8" s="2"/>
      <c r="G8" s="24"/>
    </row>
    <row r="9" spans="1:7">
      <c r="A9" s="370"/>
      <c r="B9" s="373" t="s">
        <v>810</v>
      </c>
      <c r="C9" s="373"/>
      <c r="D9" s="373"/>
      <c r="E9" s="373"/>
      <c r="F9" s="373"/>
      <c r="G9" s="24"/>
    </row>
    <row r="10" spans="1:7" ht="27" customHeight="1">
      <c r="A10" s="370"/>
      <c r="B10" s="374" t="s">
        <v>423</v>
      </c>
      <c r="C10" s="374"/>
      <c r="D10" s="374"/>
      <c r="E10" s="374"/>
      <c r="F10" s="374"/>
      <c r="G10" s="24"/>
    </row>
    <row r="11" spans="1:7" ht="27" customHeight="1">
      <c r="A11" s="370"/>
      <c r="B11" s="375"/>
      <c r="C11" s="375"/>
      <c r="D11" s="375"/>
      <c r="E11" s="375"/>
      <c r="F11" s="375"/>
      <c r="G11" s="24"/>
    </row>
    <row r="12" spans="1:7">
      <c r="A12" s="370"/>
      <c r="B12" s="28" t="s">
        <v>808</v>
      </c>
      <c r="C12" s="29" t="s">
        <v>811</v>
      </c>
      <c r="D12" s="163" t="s">
        <v>812</v>
      </c>
      <c r="E12" s="29" t="s">
        <v>593</v>
      </c>
      <c r="F12" s="29" t="s">
        <v>594</v>
      </c>
      <c r="G12" s="24"/>
    </row>
    <row r="13" spans="1:7" ht="33.75">
      <c r="A13" s="370"/>
      <c r="B13" s="275">
        <v>1</v>
      </c>
      <c r="C13" s="276" t="s">
        <v>1046</v>
      </c>
      <c r="D13" s="277" t="s">
        <v>836</v>
      </c>
      <c r="E13" s="278" t="s">
        <v>813</v>
      </c>
      <c r="F13" s="278"/>
      <c r="G13" s="24"/>
    </row>
    <row r="14" spans="1:7" ht="45">
      <c r="A14" s="370"/>
      <c r="B14" s="275">
        <v>2</v>
      </c>
      <c r="C14" s="276" t="s">
        <v>1046</v>
      </c>
      <c r="D14" s="277" t="s">
        <v>983</v>
      </c>
      <c r="E14" s="278" t="s">
        <v>513</v>
      </c>
      <c r="F14" s="278" t="s">
        <v>514</v>
      </c>
      <c r="G14" s="24"/>
    </row>
    <row r="15" spans="1:7" ht="89.2" customHeight="1">
      <c r="A15" s="370"/>
      <c r="B15" s="376">
        <v>2.0099999999999998</v>
      </c>
      <c r="C15" s="367" t="s">
        <v>1046</v>
      </c>
      <c r="D15" s="379" t="s">
        <v>2150</v>
      </c>
      <c r="E15" s="279" t="s">
        <v>595</v>
      </c>
      <c r="F15" s="279" t="s">
        <v>598</v>
      </c>
      <c r="G15" s="24"/>
    </row>
    <row r="16" spans="1:7" ht="99" customHeight="1">
      <c r="A16" s="370"/>
      <c r="B16" s="377"/>
      <c r="C16" s="368"/>
      <c r="D16" s="380"/>
      <c r="E16" s="280"/>
      <c r="F16" s="280" t="s">
        <v>596</v>
      </c>
      <c r="G16" s="24"/>
    </row>
    <row r="17" spans="1:7" ht="63" customHeight="1">
      <c r="A17" s="370"/>
      <c r="B17" s="378"/>
      <c r="C17" s="369"/>
      <c r="D17" s="381"/>
      <c r="E17" s="276"/>
      <c r="F17" s="276" t="s">
        <v>597</v>
      </c>
      <c r="G17" s="24"/>
    </row>
    <row r="18" spans="1:7" ht="117" customHeight="1">
      <c r="A18" s="370"/>
      <c r="B18" s="376">
        <v>2.02</v>
      </c>
      <c r="C18" s="367" t="s">
        <v>1046</v>
      </c>
      <c r="D18" s="379" t="s">
        <v>2151</v>
      </c>
      <c r="E18" s="279" t="s">
        <v>424</v>
      </c>
      <c r="F18" s="279" t="s">
        <v>508</v>
      </c>
      <c r="G18" s="24"/>
    </row>
    <row r="19" spans="1:7" ht="71.2" customHeight="1">
      <c r="A19" s="370"/>
      <c r="B19" s="377"/>
      <c r="C19" s="368"/>
      <c r="D19" s="380"/>
      <c r="E19" s="280" t="s">
        <v>512</v>
      </c>
      <c r="F19" s="280" t="s">
        <v>425</v>
      </c>
      <c r="G19" s="24"/>
    </row>
    <row r="20" spans="1:7" ht="90.75" customHeight="1">
      <c r="A20" s="370"/>
      <c r="B20" s="377"/>
      <c r="C20" s="368"/>
      <c r="D20" s="380"/>
      <c r="E20" s="280"/>
      <c r="F20" s="280" t="s">
        <v>600</v>
      </c>
      <c r="G20" s="24"/>
    </row>
    <row r="21" spans="1:7" ht="74.25" customHeight="1">
      <c r="A21" s="370"/>
      <c r="B21" s="378"/>
      <c r="C21" s="369"/>
      <c r="D21" s="381"/>
      <c r="E21" s="276"/>
      <c r="F21" s="276" t="s">
        <v>599</v>
      </c>
      <c r="G21" s="24"/>
    </row>
    <row r="22" spans="1:7" ht="90" customHeight="1">
      <c r="A22" s="370"/>
      <c r="B22" s="361">
        <v>2.0299999999999998</v>
      </c>
      <c r="C22" s="361" t="s">
        <v>783</v>
      </c>
      <c r="D22" s="364" t="s">
        <v>2152</v>
      </c>
      <c r="E22" s="367" t="s">
        <v>422</v>
      </c>
      <c r="F22" s="279" t="s">
        <v>445</v>
      </c>
      <c r="G22" s="24"/>
    </row>
    <row r="23" spans="1:7" ht="109.5" customHeight="1">
      <c r="A23" s="370"/>
      <c r="B23" s="362"/>
      <c r="C23" s="362"/>
      <c r="D23" s="365"/>
      <c r="E23" s="368"/>
      <c r="F23" s="280" t="s">
        <v>784</v>
      </c>
      <c r="G23" s="24"/>
    </row>
    <row r="24" spans="1:7" ht="74.25" customHeight="1">
      <c r="A24" s="370"/>
      <c r="B24" s="363"/>
      <c r="C24" s="363"/>
      <c r="D24" s="366"/>
      <c r="E24" s="369"/>
      <c r="F24" s="276" t="s">
        <v>421</v>
      </c>
      <c r="G24" s="24"/>
    </row>
    <row r="25" spans="1:7" ht="72" customHeight="1">
      <c r="A25" s="370"/>
      <c r="B25" s="275" t="s">
        <v>443</v>
      </c>
      <c r="C25" s="276" t="s">
        <v>444</v>
      </c>
      <c r="D25" s="277" t="s">
        <v>2153</v>
      </c>
      <c r="E25" s="276" t="s">
        <v>2148</v>
      </c>
      <c r="F25" s="276" t="s">
        <v>446</v>
      </c>
      <c r="G25" s="24"/>
    </row>
    <row r="26" spans="1:7" ht="98.2" customHeight="1">
      <c r="A26" s="370"/>
      <c r="B26" s="358">
        <v>3</v>
      </c>
      <c r="C26" s="376" t="s">
        <v>66</v>
      </c>
      <c r="D26" s="379" t="s">
        <v>2154</v>
      </c>
      <c r="E26" s="367" t="s">
        <v>0</v>
      </c>
      <c r="F26" s="279" t="s">
        <v>60</v>
      </c>
      <c r="G26" s="24"/>
    </row>
    <row r="27" spans="1:7" ht="90" customHeight="1">
      <c r="A27" s="370"/>
      <c r="B27" s="359"/>
      <c r="C27" s="377"/>
      <c r="D27" s="380"/>
      <c r="E27" s="368"/>
      <c r="F27" s="280" t="s">
        <v>55</v>
      </c>
      <c r="G27" s="24"/>
    </row>
    <row r="28" spans="1:7" ht="19.45" customHeight="1">
      <c r="A28" s="370"/>
      <c r="B28" s="359"/>
      <c r="C28" s="377"/>
      <c r="D28" s="380"/>
      <c r="E28" s="368"/>
      <c r="F28" s="280" t="s">
        <v>56</v>
      </c>
      <c r="G28" s="24"/>
    </row>
    <row r="29" spans="1:7" ht="74.55" customHeight="1">
      <c r="A29" s="370"/>
      <c r="B29" s="359"/>
      <c r="C29" s="377"/>
      <c r="D29" s="380"/>
      <c r="E29" s="368"/>
      <c r="F29" s="280" t="s">
        <v>57</v>
      </c>
      <c r="G29" s="24"/>
    </row>
    <row r="30" spans="1:7" ht="62.55" customHeight="1">
      <c r="A30" s="370"/>
      <c r="B30" s="359"/>
      <c r="C30" s="377"/>
      <c r="D30" s="380"/>
      <c r="E30" s="368"/>
      <c r="F30" s="280" t="s">
        <v>58</v>
      </c>
      <c r="G30" s="24"/>
    </row>
    <row r="31" spans="1:7" ht="81" customHeight="1">
      <c r="A31" s="370"/>
      <c r="B31" s="359"/>
      <c r="C31" s="377"/>
      <c r="D31" s="380"/>
      <c r="E31" s="368"/>
      <c r="F31" s="280" t="s">
        <v>59</v>
      </c>
      <c r="G31" s="24"/>
    </row>
    <row r="32" spans="1:7" ht="48.75" customHeight="1">
      <c r="A32" s="370"/>
      <c r="B32" s="359"/>
      <c r="C32" s="377"/>
      <c r="D32" s="380"/>
      <c r="E32" s="368"/>
      <c r="F32" s="280" t="s">
        <v>62</v>
      </c>
      <c r="G32" s="24"/>
    </row>
    <row r="33" spans="1:7" ht="98.55" customHeight="1">
      <c r="A33" s="370"/>
      <c r="B33" s="359"/>
      <c r="C33" s="377"/>
      <c r="D33" s="380"/>
      <c r="E33" s="368"/>
      <c r="F33" s="280" t="s">
        <v>61</v>
      </c>
      <c r="G33" s="24"/>
    </row>
    <row r="34" spans="1:7" ht="89.2" customHeight="1">
      <c r="A34" s="370"/>
      <c r="B34" s="359"/>
      <c r="C34" s="377"/>
      <c r="D34" s="380"/>
      <c r="E34" s="368"/>
      <c r="F34" s="280" t="s">
        <v>63</v>
      </c>
      <c r="G34" s="24"/>
    </row>
    <row r="35" spans="1:7" ht="29.2" customHeight="1">
      <c r="A35" s="370"/>
      <c r="B35" s="359"/>
      <c r="C35" s="377"/>
      <c r="D35" s="380"/>
      <c r="E35" s="368"/>
      <c r="F35" s="280" t="s">
        <v>64</v>
      </c>
      <c r="G35" s="24"/>
    </row>
    <row r="36" spans="1:7" ht="135">
      <c r="A36" s="370"/>
      <c r="B36" s="360"/>
      <c r="C36" s="378"/>
      <c r="D36" s="381"/>
      <c r="E36" s="369"/>
      <c r="F36" s="282" t="s">
        <v>65</v>
      </c>
      <c r="G36" s="24"/>
    </row>
    <row r="37" spans="1:7" ht="135">
      <c r="A37" s="370"/>
      <c r="B37" s="281">
        <v>3.01</v>
      </c>
      <c r="C37" s="283" t="s">
        <v>66</v>
      </c>
      <c r="D37" s="277" t="s">
        <v>2155</v>
      </c>
      <c r="E37" s="284" t="s">
        <v>1282</v>
      </c>
      <c r="F37" s="285" t="s">
        <v>1384</v>
      </c>
      <c r="G37" s="24"/>
    </row>
    <row r="38" spans="1:7" ht="123.75">
      <c r="A38" s="370"/>
      <c r="B38" s="281">
        <v>3.02</v>
      </c>
      <c r="C38" s="283" t="s">
        <v>1314</v>
      </c>
      <c r="D38" s="277" t="s">
        <v>2156</v>
      </c>
      <c r="E38" s="284" t="s">
        <v>1329</v>
      </c>
      <c r="F38" s="285" t="s">
        <v>1385</v>
      </c>
      <c r="G38" s="24"/>
    </row>
    <row r="39" spans="1:7" ht="112.5">
      <c r="A39" s="370"/>
      <c r="B39" s="286">
        <v>4</v>
      </c>
      <c r="C39" s="287" t="s">
        <v>1480</v>
      </c>
      <c r="D39" s="277" t="s">
        <v>2157</v>
      </c>
      <c r="E39" s="276" t="s">
        <v>2104</v>
      </c>
      <c r="F39" s="276" t="s">
        <v>1481</v>
      </c>
      <c r="G39" s="24"/>
    </row>
    <row r="40" spans="1:7" ht="56.25">
      <c r="A40" s="370"/>
      <c r="B40" s="281">
        <v>4.01</v>
      </c>
      <c r="C40" s="287" t="s">
        <v>1480</v>
      </c>
      <c r="D40" s="277" t="s">
        <v>2159</v>
      </c>
      <c r="E40" s="276" t="s">
        <v>2116</v>
      </c>
      <c r="F40" s="276" t="s">
        <v>2120</v>
      </c>
      <c r="G40" s="24"/>
    </row>
    <row r="41" spans="1:7" ht="56.25">
      <c r="A41" s="370"/>
      <c r="B41" s="281" t="s">
        <v>2146</v>
      </c>
      <c r="C41" s="287" t="s">
        <v>1480</v>
      </c>
      <c r="D41" s="277" t="s">
        <v>2158</v>
      </c>
      <c r="E41" s="276" t="s">
        <v>2149</v>
      </c>
      <c r="F41" s="276" t="s">
        <v>2147</v>
      </c>
      <c r="G41" s="24"/>
    </row>
    <row r="42" spans="1:7" ht="56.25">
      <c r="A42" s="370"/>
      <c r="B42" s="281" t="s">
        <v>2173</v>
      </c>
      <c r="C42" s="287" t="s">
        <v>1480</v>
      </c>
      <c r="D42" s="277" t="s">
        <v>2178</v>
      </c>
      <c r="E42" s="276" t="s">
        <v>2148</v>
      </c>
      <c r="F42" s="276" t="s">
        <v>2174</v>
      </c>
      <c r="G42" s="24"/>
    </row>
    <row r="43" spans="1:7" ht="180">
      <c r="A43" s="370"/>
      <c r="B43" s="288">
        <v>4.0999999999999996</v>
      </c>
      <c r="C43" s="287" t="s">
        <v>2177</v>
      </c>
      <c r="D43" s="289">
        <v>42867</v>
      </c>
      <c r="E43" s="290" t="s">
        <v>2180</v>
      </c>
      <c r="F43" s="276" t="s">
        <v>2179</v>
      </c>
      <c r="G43" s="24"/>
    </row>
    <row r="44" spans="1:7" ht="101.25">
      <c r="A44" s="370"/>
      <c r="B44" s="288">
        <v>4.2</v>
      </c>
      <c r="C44" s="287" t="s">
        <v>2177</v>
      </c>
      <c r="D44" s="289">
        <v>42704</v>
      </c>
      <c r="E44" s="290" t="s">
        <v>2369</v>
      </c>
      <c r="F44" s="276" t="s">
        <v>2344</v>
      </c>
      <c r="G44" s="24"/>
    </row>
    <row r="45" spans="1:7" ht="202.5">
      <c r="A45" s="370"/>
      <c r="B45" s="291">
        <v>5</v>
      </c>
      <c r="C45" s="287" t="s">
        <v>2177</v>
      </c>
      <c r="D45" s="289">
        <v>42867</v>
      </c>
      <c r="E45" s="290" t="s">
        <v>12256</v>
      </c>
      <c r="F45" s="276" t="s">
        <v>11978</v>
      </c>
      <c r="G45" s="24"/>
    </row>
    <row r="46" spans="1:7" ht="56.25">
      <c r="A46" s="370"/>
      <c r="B46" s="288">
        <v>5.01</v>
      </c>
      <c r="C46" s="287" t="s">
        <v>2177</v>
      </c>
      <c r="D46" s="289">
        <v>42907</v>
      </c>
      <c r="E46" s="290" t="s">
        <v>14886</v>
      </c>
      <c r="F46" s="276" t="s">
        <v>11978</v>
      </c>
      <c r="G46" s="24"/>
    </row>
    <row r="47" spans="1:7" ht="90">
      <c r="A47" s="370"/>
      <c r="B47" s="288">
        <v>5.0999999999999996</v>
      </c>
      <c r="C47" s="287" t="s">
        <v>2177</v>
      </c>
      <c r="D47" s="289">
        <v>43070</v>
      </c>
      <c r="E47" s="290" t="s">
        <v>12456</v>
      </c>
      <c r="F47" s="276" t="s">
        <v>12457</v>
      </c>
      <c r="G47" s="24"/>
    </row>
    <row r="48" spans="1:7" ht="78.75">
      <c r="A48" s="370"/>
      <c r="B48" s="288">
        <v>5.1100000000000003</v>
      </c>
      <c r="C48" s="287" t="s">
        <v>12684</v>
      </c>
      <c r="D48" s="289">
        <v>43217</v>
      </c>
      <c r="E48" s="290" t="s">
        <v>12786</v>
      </c>
      <c r="F48" s="276" t="s">
        <v>12711</v>
      </c>
      <c r="G48" s="24"/>
    </row>
    <row r="49" spans="1:7" ht="78.75">
      <c r="A49" s="370"/>
      <c r="B49" s="288">
        <v>5.12</v>
      </c>
      <c r="C49" s="287" t="s">
        <v>12684</v>
      </c>
      <c r="D49" s="289">
        <v>43581</v>
      </c>
      <c r="E49" s="290" t="s">
        <v>12786</v>
      </c>
      <c r="F49" s="276" t="s">
        <v>13315</v>
      </c>
      <c r="G49" s="24"/>
    </row>
    <row r="50" spans="1:7" ht="112.5">
      <c r="A50" s="370"/>
      <c r="B50" s="291">
        <v>6</v>
      </c>
      <c r="C50" s="287" t="s">
        <v>12684</v>
      </c>
      <c r="D50" s="289">
        <v>43964</v>
      </c>
      <c r="E50" s="290" t="s">
        <v>13527</v>
      </c>
      <c r="F50" s="276" t="s">
        <v>13318</v>
      </c>
      <c r="G50" s="24"/>
    </row>
    <row r="51" spans="1:7" ht="56.25">
      <c r="A51" s="370"/>
      <c r="B51" s="288">
        <v>6.01</v>
      </c>
      <c r="C51" s="287" t="s">
        <v>12684</v>
      </c>
      <c r="D51" s="289">
        <v>43970</v>
      </c>
      <c r="E51" s="290" t="s">
        <v>14887</v>
      </c>
      <c r="F51" s="290" t="s">
        <v>13318</v>
      </c>
      <c r="G51" s="24"/>
    </row>
    <row r="52" spans="1:7" ht="56.25">
      <c r="A52" s="370"/>
      <c r="B52" s="288">
        <v>6.1</v>
      </c>
      <c r="C52" s="287" t="s">
        <v>12684</v>
      </c>
      <c r="D52" s="289">
        <v>44314</v>
      </c>
      <c r="E52" s="290" t="s">
        <v>14880</v>
      </c>
      <c r="F52" s="290" t="s">
        <v>14487</v>
      </c>
      <c r="G52" s="24"/>
    </row>
    <row r="53" spans="1:7" ht="56.25">
      <c r="A53" s="370"/>
      <c r="B53" s="288">
        <v>6.2</v>
      </c>
      <c r="C53" s="287" t="s">
        <v>12684</v>
      </c>
      <c r="D53" s="289">
        <v>44678</v>
      </c>
      <c r="E53" s="290" t="s">
        <v>14880</v>
      </c>
      <c r="F53" s="290" t="s">
        <v>14879</v>
      </c>
      <c r="G53" s="24"/>
    </row>
    <row r="54" spans="1:7" ht="56.25">
      <c r="A54" s="370"/>
      <c r="B54" s="288">
        <v>6.21</v>
      </c>
      <c r="C54" s="287" t="s">
        <v>12684</v>
      </c>
      <c r="D54" s="289">
        <v>44687</v>
      </c>
      <c r="E54" s="290" t="s">
        <v>14888</v>
      </c>
      <c r="F54" s="290" t="s">
        <v>14879</v>
      </c>
      <c r="G54" s="24"/>
    </row>
    <row r="55" spans="1:7" ht="56.25">
      <c r="A55" s="370"/>
      <c r="B55" s="288">
        <v>6.22</v>
      </c>
      <c r="C55" s="287" t="s">
        <v>12684</v>
      </c>
      <c r="D55" s="292">
        <v>44692</v>
      </c>
      <c r="E55" s="290" t="s">
        <v>14887</v>
      </c>
      <c r="F55" s="290" t="s">
        <v>14879</v>
      </c>
      <c r="G55" s="24"/>
    </row>
    <row r="56" spans="1:7" ht="78.75">
      <c r="A56" s="370"/>
      <c r="B56" s="291">
        <v>6.3</v>
      </c>
      <c r="C56" s="287" t="s">
        <v>12684</v>
      </c>
      <c r="D56" s="292">
        <v>45051</v>
      </c>
      <c r="E56" s="290" t="s">
        <v>15144</v>
      </c>
      <c r="F56" s="290" t="s">
        <v>14925</v>
      </c>
      <c r="G56" s="24"/>
    </row>
    <row r="57" spans="1:7" ht="56.25">
      <c r="A57" s="370"/>
      <c r="B57" s="288">
        <v>6.31</v>
      </c>
      <c r="C57" s="287" t="s">
        <v>12684</v>
      </c>
      <c r="D57" s="292">
        <v>45072</v>
      </c>
      <c r="E57" s="290" t="s">
        <v>15146</v>
      </c>
      <c r="F57" s="290" t="s">
        <v>14925</v>
      </c>
      <c r="G57" s="24"/>
    </row>
    <row r="58" spans="1:7" ht="56.25">
      <c r="A58" s="370"/>
      <c r="B58" s="291">
        <v>6.4</v>
      </c>
      <c r="C58" s="287" t="s">
        <v>12684</v>
      </c>
      <c r="D58" s="292">
        <v>45408</v>
      </c>
      <c r="E58" s="290" t="s">
        <v>15148</v>
      </c>
      <c r="F58" s="290" t="s">
        <v>15147</v>
      </c>
      <c r="G58" s="24"/>
    </row>
    <row r="59" spans="1:7" ht="56.25">
      <c r="A59" s="370"/>
      <c r="B59" s="291">
        <v>6.5</v>
      </c>
      <c r="C59" s="287" t="s">
        <v>12684</v>
      </c>
      <c r="D59" s="292">
        <v>45772</v>
      </c>
      <c r="E59" s="290" t="s">
        <v>15217</v>
      </c>
      <c r="F59" s="290" t="s">
        <v>15259</v>
      </c>
      <c r="G59" s="24"/>
    </row>
    <row r="60" spans="1:7" ht="78.75">
      <c r="A60" s="370"/>
      <c r="B60" s="291">
        <v>6.6</v>
      </c>
      <c r="C60" s="287" t="s">
        <v>12684</v>
      </c>
      <c r="D60" s="292">
        <v>46129</v>
      </c>
      <c r="E60" s="290" t="s">
        <v>15870</v>
      </c>
      <c r="F60" s="293" t="s">
        <v>15352</v>
      </c>
      <c r="G60" s="24"/>
    </row>
    <row r="61" spans="1:7" ht="12.75" thickBot="1">
      <c r="A61" s="371"/>
      <c r="B61" s="372" t="str">
        <f ca="1">OFFSET(L!$C$1,MATCH("General"&amp;"Cpy",L!$A:$A,0)-1,SL,,)</f>
        <v>© 2026 Responsible Minerals Initiative. All rights reserved.</v>
      </c>
      <c r="C61" s="372"/>
      <c r="D61" s="372"/>
      <c r="E61" s="372"/>
      <c r="F61" s="372"/>
      <c r="G61" s="25"/>
    </row>
    <row r="62" spans="1:7" ht="12.7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203125" defaultRowHeight="12.4"/>
  <cols>
    <col min="1" max="1" width="20.5859375" style="62" customWidth="1"/>
    <col min="2" max="2" width="57.17578125" style="62" customWidth="1"/>
    <col min="3" max="16384" width="8.820312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AC3C56F-3789-486C-8437-0F2308E09E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203125" defaultRowHeight="12.4"/>
  <cols>
    <col min="1" max="1" width="11.17578125" customWidth="1"/>
    <col min="2" max="2" width="25.76171875" customWidth="1"/>
    <col min="3" max="3" width="11.820312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12B104E-45F9-48CC-9235-842DE01F713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203125" defaultRowHeight="12.4"/>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29.25">
      <c r="A2" s="102" t="str">
        <f ca="1">OFFSET(L!$C$1,MATCH("Instructions"&amp;ADDRESS(ROW(),COLUMN(),4),L!$A:$A,0)-1,SL,,)</f>
        <v>Introduction</v>
      </c>
      <c r="B2" s="97" t="s">
        <v>1258</v>
      </c>
    </row>
    <row r="3" spans="1:2" ht="146.2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4.65">
      <c r="A5" s="103"/>
      <c r="B5" s="97"/>
    </row>
    <row r="6" spans="1:2" ht="29.25">
      <c r="A6" s="102" t="str">
        <f ca="1">OFFSET(L!$C$1,MATCH("Instructions"&amp;ADDRESS(ROW(),COLUMN(),4),L!$A:$A,0)-1,SL,,)</f>
        <v>Instructions for completing Company Information questions (rows 8 - 22).
Provide comments in ENGLISH only</v>
      </c>
      <c r="B6" s="97" t="s">
        <v>1258</v>
      </c>
    </row>
    <row r="7" spans="1:2" ht="14.65">
      <c r="A7" s="220" t="str">
        <f ca="1">OFFSET(L!$C$1,MATCH("Instructions"&amp;ADDRESS(ROW(),COLUMN(),4),L!$A:$A,0)-1,SL,,)</f>
        <v xml:space="preserve">Note:  Entries with (*) are mandatory fields. </v>
      </c>
      <c r="B7" s="97"/>
    </row>
    <row r="8" spans="1:2" ht="29.25">
      <c r="A8" s="99" t="str">
        <f ca="1">OFFSET(L!$C$1,MATCH("Instructions"&amp;ADDRESS(ROW(),COLUMN(),4),L!$A:$A,0)-1,SL,,)</f>
        <v>1. Insert your company's Legal Name.  Please do not use abbreviations. In this field you have the option to add other commercial names, DBAs, etc.</v>
      </c>
      <c r="B8" s="97"/>
    </row>
    <row r="9" spans="1:2" ht="405.7"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29.25">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29.25">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3.9">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4.65">
      <c r="A17" s="99" t="str">
        <f ca="1">OFFSET(L!$C$1,MATCH("Instructions"&amp;ADDRESS(ROW(),COLUMN(),4),L!$A:$A,0)-1,SL,,)</f>
        <v>10. Insert the title for the Authorizing person. This field is optional.</v>
      </c>
      <c r="B17" s="97"/>
    </row>
    <row r="18" spans="1:2" ht="29.25">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4.6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29.25">
      <c r="A21" s="99" t="str">
        <f ca="1">OFFSET(L!$C$1,MATCH("Instructions"&amp;ADDRESS(ROW(),COLUMN(),4),L!$A:$A,0)-1,SL,,)</f>
        <v xml:space="preserve">14. As an example, the user may save the file name as:  companyname-date.xls (date as YYYY-MM-DD).  </v>
      </c>
      <c r="B21" s="97" t="s">
        <v>1258</v>
      </c>
    </row>
    <row r="22" spans="1:2" ht="14.65">
      <c r="A22" s="103"/>
      <c r="B22" s="97"/>
    </row>
    <row r="23" spans="1:2" ht="29.25">
      <c r="A23" s="102" t="str">
        <f ca="1">OFFSET(L!$C$1,MATCH("Instructions"&amp;ADDRESS(ROW(),COLUMN(),4),L!$A:$A,0)-1,SL,,)</f>
        <v>Instructions for completing the eight Due Diligence Questions (rows 24 - 71).
Provide answers in ENGLISH only</v>
      </c>
      <c r="B23" s="97" t="s">
        <v>1258</v>
      </c>
    </row>
    <row r="24" spans="1:2" ht="80.5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29.25">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4999999999999"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8"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1.6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7"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3.150000000000006">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58.5">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4.65">
      <c r="A36" s="103"/>
      <c r="B36" s="97"/>
    </row>
    <row r="37" spans="1:2" ht="43.9">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1.6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58.5">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3.150000000000006">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75.5">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46.25">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1.6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17">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4.65">
      <c r="A47" s="103"/>
      <c r="B47" s="97"/>
    </row>
    <row r="48" spans="1:2" ht="29.25">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58.5">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58.5">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3.150000000000006">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58.5">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58.5">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58.5">
      <c r="A58" s="99" t="str">
        <f ca="1">OFFSET(L!$C$1,MATCH("Instructions"&amp;ADDRESS(ROW(),COLUMN(),4),L!$A:$A,0)-1,SL,,)</f>
        <v>8. Smelter Street -  Provide the street name on which the smelter is located. This field is optional.</v>
      </c>
      <c r="B58" s="97" t="s">
        <v>1257</v>
      </c>
    </row>
    <row r="59" spans="1:2" ht="29.25">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0.9">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58.5">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4999999999999"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87.75">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4.65">
      <c r="A67" s="104"/>
      <c r="B67" s="97"/>
    </row>
    <row r="68" spans="1:2" ht="34.5" customHeight="1">
      <c r="A68" s="102" t="str">
        <f ca="1">OFFSET(L!$C$1,MATCH("Instructions"&amp;ADDRESS(ROW(),COLUMN(),4),L!$A:$A,0)-1,SL,,)</f>
        <v>TERMS AND CONDITIONS</v>
      </c>
      <c r="B68" s="97"/>
    </row>
    <row r="69" spans="1:2" ht="14.65">
      <c r="A69" s="104"/>
      <c r="B69" s="97"/>
    </row>
    <row r="70" spans="1:2" ht="80.5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7"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3.150000000000006">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29.25">
      <c r="A74" s="99"/>
      <c r="B74" s="97" t="s">
        <v>426</v>
      </c>
    </row>
    <row r="75" spans="1:2" ht="14.65">
      <c r="A75" s="99" t="str">
        <f ca="1">OFFSET(L!$C$1,MATCH("General"&amp;"Cpy",L!$A:$A,0)-1,SL,,)</f>
        <v>© 2026 Responsible Minerals Initiative. All rights reserved.</v>
      </c>
      <c r="B75" s="98"/>
    </row>
    <row r="76" spans="1:2" ht="14.65">
      <c r="A76" s="100" t="s">
        <v>993</v>
      </c>
      <c r="B76" s="98"/>
    </row>
    <row r="77" spans="1:2" ht="1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203125" defaultRowHeight="12.4"/>
  <cols>
    <col min="1" max="1" width="1.5859375" customWidth="1"/>
    <col min="2" max="2" width="35.5859375" customWidth="1"/>
    <col min="3" max="3" width="105.5859375" customWidth="1"/>
    <col min="4" max="5" width="1.5859375" customWidth="1"/>
    <col min="6" max="6" width="4.5859375" customWidth="1"/>
    <col min="7" max="7" width="4.8203125" customWidth="1"/>
  </cols>
  <sheetData>
    <row r="1" spans="1:5" ht="12.7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0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58.5">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4999999999999"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7"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1.6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58.5">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3.9">
      <c r="A10" s="71"/>
      <c r="B10" s="60" t="str">
        <f ca="1">OFFSET(L!$C$1,MATCH("Definitions"&amp;ADDRESS(ROW(),COLUMN(),4),L!$A:$A,0)-1,SL,,)</f>
        <v>DRC</v>
      </c>
      <c r="C10" s="60" t="str">
        <f ca="1">OFFSET(L!$C$1,MATCH("Definitions"&amp;ADDRESS(ROW(),COLUMN(),4),L!$A:$A,0)-1,SL,,)</f>
        <v>Democratic Republic of Congo</v>
      </c>
      <c r="D10" s="386"/>
      <c r="E10" s="97" t="s">
        <v>1266</v>
      </c>
    </row>
    <row r="11" spans="1:5" ht="58.5"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58.5">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7.89999999999998">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1.6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58.5">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75.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46.25">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4.65">
      <c r="A19" s="71"/>
      <c r="B19" s="60" t="str">
        <f ca="1">OFFSET(L!$C$1,MATCH("Definitions"&amp;ADDRESS(ROW(),COLUMN(),4),L!$A:$A,0)-1,SL,,)</f>
        <v>OECD</v>
      </c>
      <c r="C19" s="60" t="str">
        <f ca="1">OFFSET(L!$C$1,MATCH("Definitions"&amp;ADDRESS(ROW(),COLUMN(),4),L!$A:$A,0)-1,SL,,)</f>
        <v>Organisation for Economic Co-operation and Development</v>
      </c>
      <c r="D19" s="386"/>
      <c r="E19" s="97"/>
    </row>
    <row r="20" spans="1:5" ht="29.2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4.6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58.5">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7"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3.150000000000006">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3.150000000000006">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58.5">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87.7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4.65">
      <c r="A32" s="71"/>
      <c r="B32" s="385" t="str">
        <f ca="1">OFFSET(L!$C$1,MATCH("General"&amp;"Cpy",L!$A:$A,0)-1,SL,,)</f>
        <v>© 2026 Responsible Minerals Initiative. All rights reserved.</v>
      </c>
      <c r="C32" s="385"/>
      <c r="D32" s="386"/>
      <c r="E32" s="97"/>
    </row>
    <row r="33" spans="1:4" ht="12.75" thickBot="1">
      <c r="A33" s="72"/>
      <c r="B33" s="146"/>
      <c r="C33" s="146"/>
      <c r="D33" s="387"/>
    </row>
    <row r="34" spans="1:4" ht="12.7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2" sqref="D12:J12"/>
    </sheetView>
  </sheetViews>
  <sheetFormatPr defaultColWidth="8.8203125" defaultRowHeight="12.4"/>
  <cols>
    <col min="1" max="1" width="1.8203125" customWidth="1"/>
    <col min="2" max="2" width="83.17578125" customWidth="1"/>
    <col min="3" max="3" width="1.5859375" customWidth="1"/>
    <col min="4" max="5" width="16.5859375" customWidth="1"/>
    <col min="6" max="6" width="1.5859375" customWidth="1"/>
    <col min="7" max="9" width="16.5859375" customWidth="1"/>
    <col min="10" max="10" width="17.8203125" customWidth="1"/>
    <col min="11" max="11" width="1.5859375" customWidth="1"/>
    <col min="12" max="12" width="3.5859375" hidden="1" customWidth="1"/>
    <col min="13" max="15" width="4.8203125" hidden="1" customWidth="1"/>
    <col min="16" max="24" width="9.17578125" hidden="1" customWidth="1"/>
    <col min="25" max="25" width="8.8203125" hidden="1" customWidth="1"/>
  </cols>
  <sheetData>
    <row r="1" spans="1:34" ht="15" thickTop="1">
      <c r="A1" s="312"/>
      <c r="B1" s="313"/>
      <c r="C1" s="313"/>
      <c r="D1" s="313"/>
      <c r="E1" s="313"/>
      <c r="F1" s="313"/>
      <c r="G1" s="313"/>
      <c r="H1" s="313"/>
      <c r="I1" s="313"/>
      <c r="J1" s="313"/>
      <c r="K1" s="314"/>
      <c r="L1" s="97"/>
      <c r="P1" s="2"/>
      <c r="Q1" s="2"/>
      <c r="R1" s="2"/>
      <c r="S1" s="2"/>
      <c r="T1" s="2"/>
      <c r="U1" s="2"/>
      <c r="V1" s="2"/>
      <c r="W1" s="2"/>
      <c r="X1" s="2"/>
      <c r="Y1" s="2"/>
      <c r="Z1" s="2"/>
      <c r="AA1" s="2"/>
      <c r="AB1" s="2"/>
      <c r="AC1" s="2"/>
      <c r="AD1" s="2"/>
      <c r="AE1" s="2"/>
      <c r="AF1" s="2"/>
      <c r="AG1" s="2"/>
      <c r="AH1" s="2"/>
    </row>
    <row r="2" spans="1:34" ht="82.45" customHeight="1">
      <c r="A2" s="31"/>
      <c r="B2" s="133"/>
      <c r="C2" s="32"/>
      <c r="D2" s="315" t="str">
        <f ca="1">OFFSET(L!$C$1,MATCH("Declaration"&amp;ADDRESS(ROW(),COLUMN(),4),L!$A:$A,0)-1,SL,,)</f>
        <v>Conflict Minerals Reporting Template (CMRT)</v>
      </c>
      <c r="E2" s="316"/>
      <c r="F2" s="316"/>
      <c r="G2" s="316"/>
      <c r="H2" s="316"/>
      <c r="I2" s="316"/>
      <c r="J2" s="31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8"/>
      <c r="G3" s="328"/>
      <c r="H3" s="328"/>
      <c r="I3" s="145"/>
      <c r="J3" s="135" t="s">
        <v>15370</v>
      </c>
      <c r="K3" s="33"/>
      <c r="L3" s="97"/>
      <c r="P3" s="42">
        <f>MATCH($D$3,LN,0)</f>
        <v>1</v>
      </c>
    </row>
    <row r="4" spans="1:34" ht="15">
      <c r="A4" s="31"/>
      <c r="B4" s="324" t="str">
        <f ca="1">OFFSET(L!$C$1,MATCH("Declaration"&amp;ADDRESS(ROW(),COLUMN(),4),L!$A:$A,0)-1,SL,,)</f>
        <v>The purpose of this document is to collect sourcing information on tin, tantalum, tungsten and gold used in products</v>
      </c>
      <c r="C4" s="324"/>
      <c r="D4" s="324"/>
      <c r="E4" s="324"/>
      <c r="F4" s="324"/>
      <c r="G4" s="324"/>
      <c r="H4" s="324"/>
      <c r="I4" s="329" t="str">
        <f ca="1">OFFSET(L!$C$1,MATCH("Declaration"&amp;ADDRESS(ROW(),COLUMN(),4),L!$A:$A,0)-1,SL,,)</f>
        <v>Link to Terms &amp; Conditions</v>
      </c>
      <c r="J4" s="329"/>
      <c r="K4" s="33"/>
      <c r="L4" s="112"/>
      <c r="P4" s="2"/>
      <c r="Q4" s="2"/>
      <c r="R4" s="2"/>
      <c r="S4" s="2"/>
      <c r="T4" s="2"/>
      <c r="U4" s="2"/>
      <c r="V4" s="2"/>
      <c r="W4" s="2"/>
      <c r="X4" s="2"/>
      <c r="Y4" s="2"/>
      <c r="Z4" s="2"/>
      <c r="AA4" s="2"/>
      <c r="AB4" s="2"/>
      <c r="AC4" s="2"/>
      <c r="AD4" s="2"/>
      <c r="AE4" s="2"/>
      <c r="AF4" s="2"/>
      <c r="AG4" s="2"/>
      <c r="AH4" s="2"/>
    </row>
    <row r="5" spans="1:34" ht="14.6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29.25">
      <c r="A6" s="31"/>
      <c r="B6" s="324" t="str">
        <f ca="1">OFFSET(L!$C$1,MATCH("Declaration"&amp;ADDRESS(ROW(),COLUMN(),4),L!$A:$A,0)-1,SL,,)</f>
        <v>Mandatory fields are noted with an asterisk (*).  Consult the instructions tab for guidance on how to answer each question.</v>
      </c>
      <c r="C6" s="324"/>
      <c r="D6" s="324"/>
      <c r="E6" s="324"/>
      <c r="F6" s="324"/>
      <c r="G6" s="324"/>
      <c r="H6" s="324"/>
      <c r="I6" s="324"/>
      <c r="J6" s="324"/>
      <c r="K6" s="33"/>
      <c r="L6" s="112" t="s">
        <v>428</v>
      </c>
      <c r="P6" s="2"/>
      <c r="Q6" s="2"/>
      <c r="R6" s="2"/>
      <c r="S6" s="2"/>
      <c r="T6" s="2"/>
      <c r="U6" s="2"/>
      <c r="V6" s="2"/>
      <c r="W6" s="2"/>
      <c r="X6" s="2"/>
      <c r="Y6" s="2"/>
      <c r="Z6" s="2"/>
      <c r="AA6" s="2"/>
      <c r="AB6" s="2"/>
      <c r="AC6" s="2"/>
      <c r="AD6" s="2"/>
      <c r="AE6" s="2"/>
      <c r="AF6" s="2"/>
      <c r="AG6" s="2"/>
      <c r="AH6" s="2"/>
    </row>
    <row r="7" spans="1:34" ht="37.049999999999997" customHeight="1">
      <c r="A7" s="31"/>
      <c r="B7" s="333" t="str">
        <f ca="1">OFFSET(L!$C$1,MATCH("Declaration"&amp;ADDRESS(ROW(),COLUMN(),4),L!$A:$A,0)-1,SL,,)</f>
        <v>Company Information</v>
      </c>
      <c r="C7" s="333"/>
      <c r="D7" s="333"/>
      <c r="E7" s="333"/>
      <c r="F7" s="333"/>
      <c r="G7" s="333"/>
      <c r="H7" s="333"/>
      <c r="I7" s="333"/>
      <c r="J7" s="333"/>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18" t="s">
        <v>15888</v>
      </c>
      <c r="E8" s="319"/>
      <c r="F8" s="319"/>
      <c r="G8" s="319"/>
      <c r="H8" s="319"/>
      <c r="I8" s="319"/>
      <c r="J8" s="320"/>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30" t="s">
        <v>479</v>
      </c>
      <c r="E9" s="331"/>
      <c r="F9" s="331"/>
      <c r="G9" s="33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49999999999997" customHeight="1">
      <c r="A10" s="35"/>
      <c r="B10" s="334" t="str">
        <f ca="1">OFFSET(L!$C$1,MATCH("Declaration"&amp;ADDRESS(ROW(),COLUMN(),4)&amp;LEFT($D$9,1),L!$A:$A,0)-1,SL,,)</f>
        <v>Description of Scope:</v>
      </c>
      <c r="C10" s="119"/>
      <c r="D10" s="325"/>
      <c r="E10" s="326"/>
      <c r="F10" s="326"/>
      <c r="G10" s="326"/>
      <c r="H10" s="326"/>
      <c r="I10" s="326"/>
      <c r="J10" s="327"/>
      <c r="K10" s="33"/>
      <c r="L10" s="112"/>
      <c r="Q10" s="2"/>
      <c r="R10" s="2"/>
      <c r="S10" s="2"/>
      <c r="T10" s="2"/>
      <c r="U10" s="2"/>
      <c r="V10" s="2"/>
      <c r="W10" s="2"/>
      <c r="X10" s="2"/>
      <c r="Y10" s="2"/>
      <c r="Z10" s="2"/>
      <c r="AA10" s="2"/>
      <c r="AB10" s="2"/>
      <c r="AC10" s="2"/>
      <c r="AD10" s="2"/>
      <c r="AE10" s="2"/>
      <c r="AF10" s="2"/>
      <c r="AG10" s="2"/>
      <c r="AH10" s="2"/>
    </row>
    <row r="11" spans="1:34" ht="15">
      <c r="A11" s="35"/>
      <c r="B11" s="335"/>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t="s">
        <v>15891</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t="s">
        <v>15879</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t="s">
        <v>15880</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15881</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36" t="s">
        <v>15882</v>
      </c>
      <c r="E16" s="337"/>
      <c r="F16" s="337"/>
      <c r="G16" s="337"/>
      <c r="H16" s="337"/>
      <c r="I16" s="337"/>
      <c r="J16" s="338"/>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15883</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9">
      <c r="A18" s="35"/>
      <c r="B18" s="37" t="str">
        <f ca="1">OFFSET(L!$C$1,MATCH("Declaration"&amp;ADDRESS(ROW(),COLUMN(),4),L!$A:$A,0)-1,SL,,)</f>
        <v>Authorizer (*):</v>
      </c>
      <c r="C18" s="74"/>
      <c r="D18" s="354" t="s">
        <v>15884</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2.9">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9">
      <c r="A20" s="35"/>
      <c r="B20" s="37" t="str">
        <f ca="1">OFFSET(L!$C$1,MATCH("Declaration"&amp;ADDRESS(ROW(),COLUMN(),4),L!$A:$A,0)-1,SL,,)</f>
        <v>Email - Authorizer (*):</v>
      </c>
      <c r="C20" s="74"/>
      <c r="D20" s="336" t="s">
        <v>15886</v>
      </c>
      <c r="E20" s="337"/>
      <c r="F20" s="337"/>
      <c r="G20" s="337"/>
      <c r="H20" s="337"/>
      <c r="I20" s="337"/>
      <c r="J20" s="338"/>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294" t="s">
        <v>15883</v>
      </c>
      <c r="E21" s="295"/>
      <c r="F21" s="295"/>
      <c r="G21" s="295"/>
      <c r="H21" s="295"/>
      <c r="I21" s="295"/>
      <c r="J21" s="296"/>
      <c r="K21" s="33"/>
      <c r="L21" s="112"/>
      <c r="P21" s="2"/>
      <c r="Q21" s="2"/>
      <c r="R21" s="2"/>
      <c r="S21" s="2"/>
      <c r="T21" s="2"/>
      <c r="U21" s="2"/>
      <c r="V21" s="2"/>
      <c r="W21" s="2"/>
      <c r="X21" s="2"/>
      <c r="Y21" s="2"/>
      <c r="Z21" s="2"/>
      <c r="AA21" s="2"/>
      <c r="AB21" s="2"/>
      <c r="AC21" s="2"/>
      <c r="AD21" s="2"/>
      <c r="AE21" s="2"/>
      <c r="AF21" s="2"/>
      <c r="AG21" s="2"/>
      <c r="AH21" s="2"/>
    </row>
    <row r="22" spans="1:34" ht="17.649999999999999">
      <c r="A22" s="35"/>
      <c r="B22" s="37" t="str">
        <f ca="1">OFFSET(L!$C$1,MATCH("Declaration"&amp;ADDRESS(ROW(),COLUMN(),4),L!$A:$A,0)-1,SL,,)</f>
        <v>Effective Date (*):</v>
      </c>
      <c r="C22" s="75"/>
      <c r="D22" s="299">
        <v>46141</v>
      </c>
      <c r="E22" s="30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649999999999999">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01" t="str">
        <f ca="1">OFFSET(L!$C$1,MATCH("Declaration"&amp;ADDRESS(ROW(),COLUMN(),4),L!$A:$A,0)-1,SL,,)</f>
        <v>Answer the following questions 1 - 8 based on the declaration scope indicated above</v>
      </c>
      <c r="C24" s="301"/>
      <c r="D24" s="301"/>
      <c r="E24" s="301"/>
      <c r="F24" s="301"/>
      <c r="G24" s="301"/>
      <c r="H24" s="301"/>
      <c r="I24" s="301"/>
      <c r="J24" s="301"/>
      <c r="K24" s="40"/>
      <c r="L24" s="108"/>
      <c r="P24" s="2"/>
      <c r="Q24" s="2"/>
      <c r="R24" s="2"/>
      <c r="S24" s="2"/>
      <c r="T24" s="2"/>
      <c r="U24" s="2"/>
      <c r="V24" s="2"/>
      <c r="W24" s="2"/>
      <c r="X24" s="2"/>
      <c r="Y24" s="2"/>
      <c r="Z24" s="2"/>
      <c r="AA24" s="2"/>
      <c r="AB24" s="2"/>
      <c r="AC24" s="2"/>
      <c r="AD24" s="2"/>
      <c r="AE24" s="2"/>
      <c r="AF24" s="2"/>
      <c r="AG24" s="2"/>
      <c r="AH24" s="2"/>
    </row>
    <row r="25" spans="1:34" ht="48.7" customHeight="1">
      <c r="A25" s="38"/>
      <c r="B25" s="41" t="str">
        <f ca="1">OFFSET(L!$C$1,MATCH("Declaration"&amp;ADDRESS(ROW(),COLUMN(),4),L!$A:$A,0)-1,SL,,)</f>
        <v>1) Is any 3TG intentionally added or used in the product(s) or in the production process? (*)</v>
      </c>
      <c r="C25" s="16"/>
      <c r="D25" s="308" t="str">
        <f ca="1">OFFSET(L!$C$1,MATCH("Declaration"&amp;ADDRESS(ROW(),COLUMN(),4),L!$A:$A,0)-1,SL,,)</f>
        <v>Answer</v>
      </c>
      <c r="E25" s="30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9">
      <c r="A26" s="38"/>
      <c r="B26" s="37" t="str">
        <f ca="1">OFFSET(L!$C$1,MATCH("Declaration"&amp;ADDRESS(ROW(),COLUMN(),4),L!$A:$A,0)-1,SL,,)&amp;P26</f>
        <v xml:space="preserve">Tantalum  </v>
      </c>
      <c r="C26" s="32"/>
      <c r="D26" s="297" t="s">
        <v>474</v>
      </c>
      <c r="E26" s="298"/>
      <c r="F26" s="11"/>
      <c r="G26" s="305"/>
      <c r="H26" s="306"/>
      <c r="I26" s="306"/>
      <c r="J26" s="307"/>
      <c r="K26" s="33"/>
      <c r="L26" s="113"/>
      <c r="P26" s="42" t="str">
        <f>IF(D$26="No","","(*)")</f>
        <v/>
      </c>
      <c r="R26" s="2"/>
      <c r="S26" s="2"/>
      <c r="T26" s="2"/>
      <c r="U26" s="2"/>
      <c r="V26" s="2"/>
      <c r="W26" s="2"/>
      <c r="X26" s="2"/>
      <c r="Y26" s="2"/>
      <c r="Z26" s="2"/>
      <c r="AA26" s="2"/>
      <c r="AB26" s="2"/>
      <c r="AC26" s="2"/>
      <c r="AD26" s="2"/>
      <c r="AE26" s="2"/>
      <c r="AF26" s="2"/>
      <c r="AG26" s="2"/>
      <c r="AH26" s="2"/>
    </row>
    <row r="27" spans="1:34" ht="22.9">
      <c r="A27" s="38"/>
      <c r="B27" s="37" t="str">
        <f ca="1">OFFSET(L!$C$1,MATCH("Declaration"&amp;ADDRESS(ROW(),COLUMN(),4),L!$A:$A,0)-1,SL,,)&amp;P27</f>
        <v>Tin  (*)</v>
      </c>
      <c r="C27" s="32"/>
      <c r="D27" s="297" t="s">
        <v>473</v>
      </c>
      <c r="E27" s="298"/>
      <c r="F27" s="11"/>
      <c r="G27" s="305"/>
      <c r="H27" s="306"/>
      <c r="I27" s="306"/>
      <c r="J27" s="307"/>
      <c r="K27" s="33"/>
      <c r="L27" s="113"/>
      <c r="P27" s="42" t="str">
        <f>IF(D$27="No","","(*)")</f>
        <v>(*)</v>
      </c>
      <c r="R27" s="2"/>
      <c r="S27" s="2"/>
      <c r="T27" s="2"/>
      <c r="U27" s="2"/>
      <c r="V27" s="2"/>
      <c r="W27" s="2"/>
      <c r="X27" s="2"/>
      <c r="Y27" s="2"/>
      <c r="Z27" s="2"/>
      <c r="AA27" s="2"/>
      <c r="AB27" s="2"/>
      <c r="AC27" s="2"/>
      <c r="AD27" s="2"/>
      <c r="AE27" s="2"/>
      <c r="AF27" s="2"/>
      <c r="AG27" s="2"/>
      <c r="AH27" s="2"/>
    </row>
    <row r="28" spans="1:34" ht="22.9">
      <c r="A28" s="38"/>
      <c r="B28" s="37" t="str">
        <f ca="1">OFFSET(L!$C$1,MATCH("Declaration"&amp;ADDRESS(ROW(),COLUMN(),4),L!$A:$A,0)-1,SL,,)&amp;P28</f>
        <v>Gold  (*)</v>
      </c>
      <c r="C28" s="32"/>
      <c r="D28" s="297" t="s">
        <v>473</v>
      </c>
      <c r="E28" s="298"/>
      <c r="F28" s="11"/>
      <c r="G28" s="305"/>
      <c r="H28" s="306"/>
      <c r="I28" s="306"/>
      <c r="J28" s="307"/>
      <c r="K28" s="33"/>
      <c r="L28" s="113"/>
      <c r="P28" s="42" t="str">
        <f>IF(D$28="No","","(*)")</f>
        <v>(*)</v>
      </c>
      <c r="R28" s="2"/>
      <c r="S28" s="2"/>
      <c r="T28" s="2"/>
      <c r="U28" s="2"/>
      <c r="V28" s="2"/>
      <c r="W28" s="2"/>
      <c r="X28" s="2"/>
      <c r="Y28" s="2"/>
      <c r="Z28" s="2"/>
      <c r="AA28" s="2"/>
      <c r="AB28" s="2"/>
      <c r="AC28" s="2"/>
      <c r="AD28" s="2"/>
      <c r="AE28" s="2"/>
      <c r="AF28" s="2"/>
      <c r="AG28" s="2"/>
      <c r="AH28" s="2"/>
    </row>
    <row r="29" spans="1:34" ht="22.9">
      <c r="A29" s="38"/>
      <c r="B29" s="37" t="str">
        <f ca="1">OFFSET(L!$C$1,MATCH("Declaration"&amp;ADDRESS(ROW(),COLUMN(),4),L!$A:$A,0)-1,SL,,)&amp;P29</f>
        <v xml:space="preserve">Tungsten  </v>
      </c>
      <c r="C29" s="32"/>
      <c r="D29" s="297" t="s">
        <v>474</v>
      </c>
      <c r="E29" s="298"/>
      <c r="F29" s="11"/>
      <c r="G29" s="305"/>
      <c r="H29" s="306"/>
      <c r="I29" s="306"/>
      <c r="J29" s="307"/>
      <c r="K29" s="33"/>
      <c r="L29" s="113"/>
      <c r="P29" s="42" t="str">
        <f>IF(D$29="No","","(*)")</f>
        <v/>
      </c>
      <c r="R29" s="2"/>
      <c r="S29" s="2"/>
      <c r="T29" s="2"/>
      <c r="U29" s="2"/>
      <c r="V29" s="2"/>
      <c r="W29" s="2"/>
      <c r="X29" s="2"/>
      <c r="Y29" s="2"/>
      <c r="Z29" s="2"/>
      <c r="AA29" s="2"/>
      <c r="AB29" s="2"/>
      <c r="AC29" s="2"/>
      <c r="AD29" s="2"/>
      <c r="AE29" s="2"/>
      <c r="AF29" s="2"/>
      <c r="AG29" s="2"/>
      <c r="AH29" s="2"/>
    </row>
    <row r="30" spans="1:34" ht="17.649999999999999">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7" customHeight="1">
      <c r="A31" s="38"/>
      <c r="B31" s="41" t="str">
        <f ca="1">OFFSET(L!$C$1,MATCH("Declaration"&amp;ADDRESS(ROW(),COLUMN(),4),L!$A:$A,0)-1,SL,,)&amp;Q$37</f>
        <v>2) Does any 3TG remain in the product(s)? (*)</v>
      </c>
      <c r="C31" s="9"/>
      <c r="D31" s="302" t="str">
        <f ca="1">D25</f>
        <v>Answer</v>
      </c>
      <c r="E31" s="302"/>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9">
      <c r="A32" s="38"/>
      <c r="B32" s="37" t="str">
        <f ca="1">B26</f>
        <v xml:space="preserve">Tantalum  </v>
      </c>
      <c r="C32" s="9"/>
      <c r="D32" s="303"/>
      <c r="E32" s="304"/>
      <c r="F32" s="44"/>
      <c r="G32" s="305"/>
      <c r="H32" s="306"/>
      <c r="I32" s="306"/>
      <c r="J32" s="307"/>
      <c r="K32" s="33"/>
      <c r="L32" s="113"/>
      <c r="P32" s="42" t="str">
        <f>IF(D$32="No","","(*)")</f>
        <v>(*)</v>
      </c>
      <c r="Q32" s="2"/>
      <c r="R32" s="2"/>
      <c r="S32" s="2"/>
      <c r="T32" s="2"/>
      <c r="U32" s="2"/>
      <c r="V32" s="2"/>
      <c r="W32" s="2"/>
      <c r="X32" s="2"/>
      <c r="Y32" s="2"/>
      <c r="Z32" s="2"/>
      <c r="AA32" s="2"/>
      <c r="AB32" s="2"/>
      <c r="AC32" s="2"/>
      <c r="AD32" s="2"/>
      <c r="AE32" s="2"/>
      <c r="AF32" s="2"/>
      <c r="AG32" s="2"/>
      <c r="AH32" s="2"/>
    </row>
    <row r="33" spans="1:34" ht="22.9">
      <c r="A33" s="38"/>
      <c r="B33" s="37" t="str">
        <f ca="1">B27</f>
        <v>Tin  (*)</v>
      </c>
      <c r="C33" s="9"/>
      <c r="D33" s="297" t="s">
        <v>473</v>
      </c>
      <c r="E33" s="298"/>
      <c r="F33" s="44"/>
      <c r="G33" s="305"/>
      <c r="H33" s="306"/>
      <c r="I33" s="306"/>
      <c r="J33" s="307"/>
      <c r="K33" s="33"/>
      <c r="L33" s="113"/>
      <c r="P33" s="42" t="str">
        <f>IF(D$33="No","","(*)")</f>
        <v>(*)</v>
      </c>
      <c r="Q33" s="2"/>
      <c r="R33" s="2"/>
      <c r="S33" s="2"/>
      <c r="T33" s="2"/>
      <c r="U33" s="2"/>
      <c r="V33" s="2"/>
      <c r="W33" s="2"/>
      <c r="X33" s="2"/>
      <c r="Y33" s="2"/>
      <c r="Z33" s="2"/>
      <c r="AA33" s="2"/>
      <c r="AB33" s="2"/>
      <c r="AC33" s="2"/>
      <c r="AD33" s="2"/>
      <c r="AE33" s="2"/>
      <c r="AF33" s="2"/>
      <c r="AG33" s="2"/>
      <c r="AH33" s="2"/>
    </row>
    <row r="34" spans="1:34" ht="22.9">
      <c r="A34" s="38"/>
      <c r="B34" s="37" t="str">
        <f ca="1">B28</f>
        <v>Gold  (*)</v>
      </c>
      <c r="C34" s="9"/>
      <c r="D34" s="297" t="s">
        <v>473</v>
      </c>
      <c r="E34" s="298"/>
      <c r="F34" s="44"/>
      <c r="G34" s="305"/>
      <c r="H34" s="306"/>
      <c r="I34" s="306"/>
      <c r="J34" s="307"/>
      <c r="K34" s="33"/>
      <c r="L34" s="113"/>
      <c r="P34" s="42" t="str">
        <f>IF(D$34="No","","(*)")</f>
        <v>(*)</v>
      </c>
      <c r="Q34" s="2"/>
      <c r="R34" s="2"/>
      <c r="S34" s="2"/>
      <c r="T34" s="2"/>
      <c r="U34" s="2"/>
      <c r="V34" s="2"/>
      <c r="W34" s="2"/>
      <c r="X34" s="2"/>
      <c r="Y34" s="2"/>
      <c r="Z34" s="2"/>
      <c r="AA34" s="2"/>
      <c r="AB34" s="2"/>
      <c r="AC34" s="2"/>
      <c r="AD34" s="2"/>
      <c r="AE34" s="2"/>
      <c r="AF34" s="2"/>
      <c r="AG34" s="2"/>
      <c r="AH34" s="2"/>
    </row>
    <row r="35" spans="1:34" ht="22.9">
      <c r="A35" s="38"/>
      <c r="B35" s="37" t="str">
        <f ca="1">B29</f>
        <v xml:space="preserve">Tungsten  </v>
      </c>
      <c r="C35" s="9"/>
      <c r="D35" s="297"/>
      <c r="E35" s="298"/>
      <c r="F35" s="44"/>
      <c r="G35" s="305"/>
      <c r="H35" s="306"/>
      <c r="I35" s="306"/>
      <c r="J35" s="307"/>
      <c r="K35" s="33"/>
      <c r="L35" s="113"/>
      <c r="P35" s="42" t="str">
        <f>IF(D$35="No","","(*)")</f>
        <v>(*)</v>
      </c>
      <c r="Q35" s="2"/>
      <c r="R35" s="2"/>
      <c r="S35" s="2"/>
      <c r="T35" s="2"/>
      <c r="U35" s="2"/>
      <c r="V35" s="2"/>
      <c r="W35" s="2"/>
      <c r="X35" s="2"/>
      <c r="Y35" s="2"/>
      <c r="Z35" s="2"/>
      <c r="AA35" s="2"/>
      <c r="AB35" s="2"/>
      <c r="AC35" s="2"/>
      <c r="AD35" s="2"/>
      <c r="AE35" s="2"/>
      <c r="AF35" s="2"/>
      <c r="AG35" s="2"/>
      <c r="AH35" s="2"/>
    </row>
    <row r="36" spans="1:34" ht="17.649999999999999">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7" customHeight="1">
      <c r="A37" s="38"/>
      <c r="B37" s="41" t="str">
        <f ca="1">OFFSET(L!$C$1,MATCH("Declaration"&amp;ADDRESS(ROW(),COLUMN(),4),L!$A:$A,0)-1,SL,,)&amp;Q$37</f>
        <v>3) Do any of the smelters in your supply chain source the 3TG from the covered countries? (SEC term, see definitions tab) (*)</v>
      </c>
      <c r="C37" s="9"/>
      <c r="D37" s="302" t="str">
        <f ca="1">D25</f>
        <v>Answer</v>
      </c>
      <c r="E37" s="302"/>
      <c r="F37" s="17"/>
      <c r="G37" s="41" t="str">
        <f ca="1">G25</f>
        <v>Comments</v>
      </c>
      <c r="H37" s="345"/>
      <c r="I37" s="345"/>
      <c r="J37" s="345"/>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9">
      <c r="A38" s="38"/>
      <c r="B38" s="37" t="str">
        <f ca="1">OFFSET(L!$C$1,MATCH("Declaration"&amp;ADDRESS(ROW(),COLUMN(),4),L!$A:$A,0)-1,SL,,)&amp;P38</f>
        <v xml:space="preserve">Tantalum  </v>
      </c>
      <c r="C38" s="9"/>
      <c r="D38" s="297"/>
      <c r="E38" s="298"/>
      <c r="F38" s="44"/>
      <c r="G38" s="305"/>
      <c r="H38" s="306"/>
      <c r="I38" s="306"/>
      <c r="J38" s="307"/>
      <c r="K38" s="33"/>
      <c r="L38" s="113"/>
      <c r="P38" s="42" t="str">
        <f>IF((OR(D$26="No",D$32="No")),"","(*)")</f>
        <v/>
      </c>
      <c r="Q38" s="2"/>
      <c r="R38" s="2"/>
      <c r="S38" s="2"/>
      <c r="T38" s="2"/>
      <c r="U38" s="2"/>
      <c r="V38" s="2"/>
      <c r="W38" s="2"/>
      <c r="X38" s="2"/>
      <c r="Y38" s="2"/>
      <c r="Z38" s="2"/>
      <c r="AA38" s="2"/>
      <c r="AB38" s="2"/>
      <c r="AC38" s="2"/>
      <c r="AD38" s="2"/>
      <c r="AE38" s="2"/>
      <c r="AF38" s="2"/>
      <c r="AG38" s="2"/>
    </row>
    <row r="39" spans="1:34" ht="22.9">
      <c r="A39" s="38"/>
      <c r="B39" s="37" t="str">
        <f ca="1">OFFSET(L!$C$1,MATCH("Declaration"&amp;ADDRESS(ROW(),COLUMN(),4),L!$A:$A,0)-1,SL,,)&amp;P39</f>
        <v>Tin  (*)</v>
      </c>
      <c r="C39" s="9"/>
      <c r="D39" s="297" t="s">
        <v>474</v>
      </c>
      <c r="E39" s="298"/>
      <c r="F39" s="44"/>
      <c r="G39" s="305"/>
      <c r="H39" s="306"/>
      <c r="I39" s="306"/>
      <c r="J39" s="307"/>
      <c r="K39" s="33"/>
      <c r="L39" s="113"/>
      <c r="P39" s="42" t="str">
        <f>IF((OR(D$27="No",D$33="No")),"","(*)")</f>
        <v>(*)</v>
      </c>
      <c r="Q39" s="2"/>
      <c r="R39" s="2"/>
      <c r="S39" s="2"/>
      <c r="T39" s="2"/>
      <c r="U39" s="2"/>
      <c r="V39" s="2"/>
      <c r="W39" s="2"/>
      <c r="X39" s="2"/>
      <c r="Y39" s="2"/>
      <c r="Z39" s="2"/>
      <c r="AA39" s="2"/>
      <c r="AB39" s="2"/>
      <c r="AC39" s="2"/>
      <c r="AD39" s="2"/>
      <c r="AE39" s="2"/>
      <c r="AF39" s="2"/>
      <c r="AG39" s="2"/>
    </row>
    <row r="40" spans="1:34" ht="22.9">
      <c r="A40" s="38"/>
      <c r="B40" s="37" t="str">
        <f ca="1">OFFSET(L!$C$1,MATCH("Declaration"&amp;ADDRESS(ROW(),COLUMN(),4),L!$A:$A,0)-1,SL,,)&amp;P40</f>
        <v>Gold  (*)</v>
      </c>
      <c r="C40" s="9"/>
      <c r="D40" s="297" t="s">
        <v>474</v>
      </c>
      <c r="E40" s="298"/>
      <c r="F40" s="44"/>
      <c r="G40" s="305"/>
      <c r="H40" s="306"/>
      <c r="I40" s="306"/>
      <c r="J40" s="307"/>
      <c r="K40" s="33"/>
      <c r="L40" s="113"/>
      <c r="P40" s="42" t="str">
        <f>IF((OR(D$28="No",D$34="No")),"","(*)")</f>
        <v>(*)</v>
      </c>
      <c r="Q40" s="2"/>
      <c r="R40" s="2"/>
      <c r="S40" s="2"/>
      <c r="T40" s="2"/>
      <c r="U40" s="2"/>
      <c r="V40" s="2"/>
      <c r="W40" s="2"/>
      <c r="X40" s="2"/>
      <c r="Y40" s="2"/>
      <c r="Z40" s="2"/>
      <c r="AA40" s="2"/>
      <c r="AB40" s="2"/>
      <c r="AC40" s="2"/>
      <c r="AD40" s="2"/>
      <c r="AE40" s="2"/>
      <c r="AF40" s="2"/>
      <c r="AG40" s="2"/>
    </row>
    <row r="41" spans="1:34" ht="22.9">
      <c r="A41" s="38"/>
      <c r="B41" s="37" t="str">
        <f ca="1">OFFSET(L!$C$1,MATCH("Declaration"&amp;ADDRESS(ROW(),COLUMN(),4),L!$A:$A,0)-1,SL,,)&amp;P41</f>
        <v xml:space="preserve">Tungsten  </v>
      </c>
      <c r="C41" s="9"/>
      <c r="D41" s="297"/>
      <c r="E41" s="298"/>
      <c r="F41" s="44"/>
      <c r="G41" s="305"/>
      <c r="H41" s="306"/>
      <c r="I41" s="306"/>
      <c r="J41" s="307"/>
      <c r="K41" s="33"/>
      <c r="L41" s="113"/>
      <c r="P41" s="42" t="str">
        <f>IF((OR(D$29="No",D$35="No")),"","(*)")</f>
        <v/>
      </c>
      <c r="Q41" s="2"/>
      <c r="R41" s="2"/>
      <c r="S41" s="2"/>
      <c r="T41" s="2"/>
      <c r="U41" s="2"/>
      <c r="V41" s="2"/>
      <c r="W41" s="2"/>
      <c r="X41" s="2"/>
      <c r="Y41" s="2"/>
      <c r="Z41" s="2"/>
      <c r="AA41" s="2"/>
      <c r="AB41" s="2"/>
      <c r="AC41" s="2"/>
      <c r="AD41" s="2"/>
      <c r="AE41" s="2"/>
      <c r="AF41" s="2"/>
      <c r="AG41" s="2"/>
    </row>
    <row r="42" spans="1:34" ht="17.649999999999999">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7" customHeight="1">
      <c r="A43" s="38"/>
      <c r="B43" s="41" t="str">
        <f ca="1">OFFSET(L!$C$1,MATCH("Declaration"&amp;ADDRESS(ROW(),COLUMN(),4),L!$A:$A,0)-1,SL,,)&amp;Q$37</f>
        <v>4) Do any of the smelters in your supply chain source the 3TG from conflict-affected and high-risk areas? (*)</v>
      </c>
      <c r="C43" s="9"/>
      <c r="D43" s="302" t="str">
        <f ca="1">D25</f>
        <v>Answer</v>
      </c>
      <c r="E43" s="302"/>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2" customHeight="1">
      <c r="A44" s="38"/>
      <c r="B44" s="37" t="str">
        <f ca="1">OFFSET(L!$C$1,MATCH("Declaration"&amp;ADDRESS(ROW(),COLUMN(),4),L!$A:$A,0)-1,SL,,)&amp;P44</f>
        <v xml:space="preserve">Tantalum  </v>
      </c>
      <c r="C44" s="9"/>
      <c r="D44" s="297"/>
      <c r="E44" s="298"/>
      <c r="F44" s="44"/>
      <c r="G44" s="305"/>
      <c r="H44" s="306"/>
      <c r="I44" s="306"/>
      <c r="J44" s="307"/>
      <c r="K44" s="33"/>
      <c r="L44" s="108"/>
      <c r="P44" s="42" t="str">
        <f>IF((OR(D$26="No",D$32="No")),"","(*)")</f>
        <v/>
      </c>
      <c r="Q44" s="2"/>
      <c r="R44" s="2"/>
      <c r="S44" s="2"/>
      <c r="T44" s="2"/>
      <c r="U44" s="2"/>
      <c r="V44" s="2"/>
      <c r="W44" s="2"/>
      <c r="X44" s="2"/>
      <c r="Y44" s="2"/>
      <c r="Z44" s="2"/>
      <c r="AA44" s="2"/>
      <c r="AB44" s="2"/>
      <c r="AC44" s="2"/>
      <c r="AD44" s="2"/>
      <c r="AE44" s="2"/>
      <c r="AF44" s="2"/>
      <c r="AG44" s="2"/>
      <c r="AH44" s="2"/>
    </row>
    <row r="45" spans="1:34" ht="23.2" customHeight="1">
      <c r="A45" s="38"/>
      <c r="B45" s="37" t="str">
        <f ca="1">OFFSET(L!$C$1,MATCH("Declaration"&amp;ADDRESS(ROW(),COLUMN(),4),L!$A:$A,0)-1,SL,,)&amp;P45</f>
        <v>Tin  (*)</v>
      </c>
      <c r="C45" s="9"/>
      <c r="D45" s="297" t="s">
        <v>474</v>
      </c>
      <c r="E45" s="298"/>
      <c r="F45" s="44"/>
      <c r="G45" s="305"/>
      <c r="H45" s="306"/>
      <c r="I45" s="306"/>
      <c r="J45" s="307"/>
      <c r="K45" s="33"/>
      <c r="L45" s="108"/>
      <c r="P45" s="42" t="str">
        <f>IF((OR(D$27="No",D$33="No")),"","(*)")</f>
        <v>(*)</v>
      </c>
      <c r="Q45" s="2"/>
      <c r="R45" s="2"/>
      <c r="S45" s="2"/>
      <c r="T45" s="2"/>
      <c r="U45" s="2"/>
      <c r="V45" s="2"/>
      <c r="W45" s="2"/>
      <c r="X45" s="2"/>
      <c r="Y45" s="2"/>
      <c r="Z45" s="2"/>
      <c r="AA45" s="2"/>
      <c r="AB45" s="2"/>
      <c r="AC45" s="2"/>
      <c r="AD45" s="2"/>
      <c r="AE45" s="2"/>
      <c r="AF45" s="2"/>
      <c r="AG45" s="2"/>
      <c r="AH45" s="2"/>
    </row>
    <row r="46" spans="1:34" ht="23.2" customHeight="1">
      <c r="A46" s="38"/>
      <c r="B46" s="37" t="str">
        <f ca="1">OFFSET(L!$C$1,MATCH("Declaration"&amp;ADDRESS(ROW(),COLUMN(),4),L!$A:$A,0)-1,SL,,)&amp;P46</f>
        <v>Gold  (*)</v>
      </c>
      <c r="C46" s="9"/>
      <c r="D46" s="297" t="s">
        <v>474</v>
      </c>
      <c r="E46" s="298"/>
      <c r="F46" s="44"/>
      <c r="G46" s="305"/>
      <c r="H46" s="306"/>
      <c r="I46" s="306"/>
      <c r="J46" s="307"/>
      <c r="K46" s="33"/>
      <c r="L46" s="108"/>
      <c r="P46" s="42" t="str">
        <f>IF((OR(D$28="No",D$34="No")),"","(*)")</f>
        <v>(*)</v>
      </c>
      <c r="Q46" s="2"/>
      <c r="R46" s="2"/>
      <c r="S46" s="2"/>
      <c r="T46" s="2"/>
      <c r="U46" s="2"/>
      <c r="V46" s="2"/>
      <c r="W46" s="2"/>
      <c r="X46" s="2"/>
      <c r="Y46" s="2"/>
      <c r="Z46" s="2"/>
      <c r="AA46" s="2"/>
      <c r="AB46" s="2"/>
      <c r="AC46" s="2"/>
      <c r="AD46" s="2"/>
      <c r="AE46" s="2"/>
      <c r="AF46" s="2"/>
      <c r="AG46" s="2"/>
      <c r="AH46" s="2"/>
    </row>
    <row r="47" spans="1:34" ht="23.2" customHeight="1">
      <c r="A47" s="38"/>
      <c r="B47" s="37" t="str">
        <f ca="1">OFFSET(L!$C$1,MATCH("Declaration"&amp;ADDRESS(ROW(),COLUMN(),4),L!$A:$A,0)-1,SL,,)&amp;P47</f>
        <v xml:space="preserve">Tungsten  </v>
      </c>
      <c r="C47" s="9"/>
      <c r="D47" s="297"/>
      <c r="E47" s="298"/>
      <c r="F47" s="44"/>
      <c r="G47" s="305"/>
      <c r="H47" s="306"/>
      <c r="I47" s="306"/>
      <c r="J47" s="307"/>
      <c r="K47" s="33"/>
      <c r="L47" s="108"/>
      <c r="P47" s="42" t="str">
        <f>IF((OR(D$29="No",D$35="No")),"","(*)")</f>
        <v/>
      </c>
      <c r="Q47" s="2"/>
      <c r="R47" s="2"/>
      <c r="S47" s="2"/>
      <c r="T47" s="2"/>
      <c r="U47" s="2"/>
      <c r="V47" s="2"/>
      <c r="W47" s="2"/>
      <c r="X47" s="2"/>
      <c r="Y47" s="2"/>
      <c r="Z47" s="2"/>
      <c r="AA47" s="2"/>
      <c r="AB47" s="2"/>
      <c r="AC47" s="2"/>
      <c r="AD47" s="2"/>
      <c r="AE47" s="2"/>
      <c r="AF47" s="2"/>
      <c r="AG47" s="2"/>
      <c r="AH47" s="2"/>
    </row>
    <row r="48" spans="1:34" ht="23.2"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7" customHeight="1">
      <c r="A49" s="38"/>
      <c r="B49" s="41" t="str">
        <f ca="1">OFFSET(L!$C$1,MATCH("Declaration"&amp;ADDRESS(ROW(),COLUMN(),4),L!$A:$A,0)-1,SL,,)&amp;Q$37</f>
        <v>5) Does 100 percent of the 3TG (necessary to the functionality or production of your products) originate from recycled or scrap sources?  (*)</v>
      </c>
      <c r="C49" s="9"/>
      <c r="D49" s="302" t="str">
        <f ca="1">D25</f>
        <v>Answer</v>
      </c>
      <c r="E49" s="30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9">
      <c r="A50" s="38"/>
      <c r="B50" s="37" t="str">
        <f ca="1">B38</f>
        <v xml:space="preserve">Tantalum  </v>
      </c>
      <c r="C50" s="9"/>
      <c r="D50" s="297"/>
      <c r="E50" s="298"/>
      <c r="F50" s="44"/>
      <c r="G50" s="305"/>
      <c r="H50" s="306"/>
      <c r="I50" s="306"/>
      <c r="J50" s="307"/>
      <c r="K50" s="33"/>
      <c r="L50" s="113"/>
      <c r="P50" s="2"/>
      <c r="Q50" s="2"/>
      <c r="R50" s="2"/>
      <c r="S50" s="2"/>
      <c r="T50" s="2"/>
      <c r="U50" s="2"/>
      <c r="V50" s="2"/>
      <c r="W50" s="2"/>
      <c r="X50" s="2"/>
      <c r="Y50" s="2"/>
      <c r="Z50" s="2"/>
      <c r="AA50" s="2"/>
      <c r="AB50" s="2"/>
      <c r="AC50" s="2"/>
      <c r="AD50" s="2"/>
      <c r="AE50" s="2"/>
      <c r="AF50" s="2"/>
      <c r="AG50" s="2"/>
      <c r="AH50" s="2"/>
    </row>
    <row r="51" spans="1:34" ht="22.9">
      <c r="A51" s="38"/>
      <c r="B51" s="37" t="str">
        <f ca="1">B39</f>
        <v>Tin  (*)</v>
      </c>
      <c r="C51" s="9"/>
      <c r="D51" s="297" t="s">
        <v>474</v>
      </c>
      <c r="E51" s="298"/>
      <c r="F51" s="44"/>
      <c r="G51" s="305"/>
      <c r="H51" s="306"/>
      <c r="I51" s="306"/>
      <c r="J51" s="307"/>
      <c r="K51" s="33"/>
      <c r="L51" s="113"/>
      <c r="P51" s="2"/>
      <c r="Q51" s="2"/>
      <c r="R51" s="2"/>
      <c r="S51" s="2"/>
      <c r="T51" s="2"/>
      <c r="U51" s="2"/>
      <c r="V51" s="2"/>
      <c r="W51" s="2"/>
      <c r="X51" s="2"/>
      <c r="Y51" s="2"/>
      <c r="Z51" s="2"/>
      <c r="AA51" s="2"/>
      <c r="AB51" s="2"/>
      <c r="AC51" s="2"/>
      <c r="AD51" s="2"/>
      <c r="AE51" s="2"/>
      <c r="AF51" s="2"/>
      <c r="AG51" s="2"/>
      <c r="AH51" s="2"/>
    </row>
    <row r="52" spans="1:34" ht="22.9">
      <c r="A52" s="38"/>
      <c r="B52" s="37" t="str">
        <f ca="1">B40</f>
        <v>Gold  (*)</v>
      </c>
      <c r="C52" s="9"/>
      <c r="D52" s="297" t="s">
        <v>473</v>
      </c>
      <c r="E52" s="298"/>
      <c r="F52" s="44"/>
      <c r="G52" s="305" t="s">
        <v>15889</v>
      </c>
      <c r="H52" s="306"/>
      <c r="I52" s="306"/>
      <c r="J52" s="307"/>
      <c r="K52" s="33"/>
      <c r="L52" s="113"/>
      <c r="P52" s="2"/>
      <c r="Q52" s="2"/>
      <c r="R52" s="2"/>
      <c r="S52" s="2"/>
      <c r="T52" s="2"/>
      <c r="U52" s="2"/>
      <c r="V52" s="2"/>
      <c r="W52" s="2"/>
      <c r="X52" s="2"/>
      <c r="Y52" s="2"/>
      <c r="Z52" s="2"/>
      <c r="AA52" s="2"/>
      <c r="AB52" s="2"/>
      <c r="AC52" s="2"/>
      <c r="AD52" s="2"/>
      <c r="AE52" s="2"/>
      <c r="AF52" s="2"/>
      <c r="AG52" s="2"/>
      <c r="AH52" s="2"/>
    </row>
    <row r="53" spans="1:34" ht="22.9">
      <c r="A53" s="38"/>
      <c r="B53" s="37" t="str">
        <f ca="1">B41</f>
        <v xml:space="preserve">Tungsten  </v>
      </c>
      <c r="C53" s="9"/>
      <c r="D53" s="297"/>
      <c r="E53" s="298"/>
      <c r="F53" s="44"/>
      <c r="G53" s="305"/>
      <c r="H53" s="306"/>
      <c r="I53" s="306"/>
      <c r="J53" s="307"/>
      <c r="K53" s="33"/>
      <c r="L53" s="113"/>
      <c r="P53" s="2"/>
      <c r="Q53" s="2"/>
      <c r="R53" s="2"/>
      <c r="S53" s="2"/>
      <c r="T53" s="2"/>
      <c r="U53" s="2"/>
      <c r="V53" s="2"/>
      <c r="W53" s="2"/>
      <c r="X53" s="2"/>
      <c r="Y53" s="2"/>
      <c r="Z53" s="2"/>
      <c r="AA53" s="2"/>
      <c r="AB53" s="2"/>
      <c r="AC53" s="2"/>
      <c r="AD53" s="2"/>
      <c r="AE53" s="2"/>
      <c r="AF53" s="2"/>
      <c r="AG53" s="2"/>
      <c r="AH53" s="2"/>
    </row>
    <row r="54" spans="1:34" ht="17.649999999999999">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7" customHeight="1">
      <c r="A55" s="38"/>
      <c r="B55" s="250" t="str">
        <f ca="1">OFFSET(L!$C$1,MATCH("Declaration"&amp;ADDRESS(ROW(),COLUMN(),4),L!$A:$A,0)-1,SL,,)&amp;Q$37</f>
        <v>6) What percentage of relevant suppliers have provided a response to your supply chain survey?  (*)</v>
      </c>
      <c r="C55" s="9"/>
      <c r="D55" s="302" t="str">
        <f ca="1">D25</f>
        <v>Answer</v>
      </c>
      <c r="E55" s="30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9">
      <c r="A56" s="38"/>
      <c r="B56" s="37" t="str">
        <f ca="1">B38</f>
        <v xml:space="preserve">Tantalum  </v>
      </c>
      <c r="C56" s="32"/>
      <c r="D56" s="339"/>
      <c r="E56" s="340"/>
      <c r="F56" s="44"/>
      <c r="G56" s="305"/>
      <c r="H56" s="306"/>
      <c r="I56" s="306"/>
      <c r="J56" s="307"/>
      <c r="K56" s="33"/>
      <c r="L56" s="113"/>
      <c r="P56" s="2"/>
      <c r="Q56" s="2"/>
      <c r="R56" s="2"/>
      <c r="S56" s="2"/>
      <c r="T56" s="2"/>
      <c r="U56" s="2"/>
      <c r="V56" s="2"/>
      <c r="W56" s="2"/>
      <c r="X56" s="2"/>
      <c r="Y56" s="2"/>
      <c r="Z56" s="2"/>
      <c r="AA56" s="2"/>
      <c r="AB56" s="2"/>
      <c r="AC56" s="2"/>
      <c r="AD56" s="2"/>
      <c r="AE56" s="2"/>
      <c r="AF56" s="2"/>
      <c r="AG56" s="2"/>
      <c r="AH56" s="2"/>
    </row>
    <row r="57" spans="1:34" ht="22.9">
      <c r="A57" s="38"/>
      <c r="B57" s="37" t="str">
        <f ca="1">B39</f>
        <v>Tin  (*)</v>
      </c>
      <c r="C57" s="32"/>
      <c r="D57" s="339" t="s">
        <v>15887</v>
      </c>
      <c r="E57" s="340"/>
      <c r="F57" s="44"/>
      <c r="G57" s="305"/>
      <c r="H57" s="306"/>
      <c r="I57" s="306"/>
      <c r="J57" s="307"/>
      <c r="K57" s="33"/>
      <c r="L57" s="113"/>
      <c r="P57" s="2"/>
      <c r="Q57" s="2"/>
      <c r="R57" s="2"/>
      <c r="S57" s="2"/>
      <c r="T57" s="2"/>
      <c r="U57" s="2"/>
      <c r="V57" s="2"/>
      <c r="W57" s="2"/>
      <c r="X57" s="2"/>
      <c r="Y57" s="2"/>
      <c r="Z57" s="2"/>
      <c r="AA57" s="2"/>
      <c r="AB57" s="2"/>
      <c r="AC57" s="2"/>
      <c r="AD57" s="2"/>
      <c r="AE57" s="2"/>
      <c r="AF57" s="2"/>
      <c r="AG57" s="2"/>
      <c r="AH57" s="2"/>
    </row>
    <row r="58" spans="1:34" ht="22.9">
      <c r="A58" s="38"/>
      <c r="B58" s="37" t="str">
        <f ca="1">B40</f>
        <v>Gold  (*)</v>
      </c>
      <c r="C58" s="32"/>
      <c r="D58" s="339" t="s">
        <v>15887</v>
      </c>
      <c r="E58" s="340"/>
      <c r="F58" s="44"/>
      <c r="G58" s="305"/>
      <c r="H58" s="306"/>
      <c r="I58" s="306"/>
      <c r="J58" s="307"/>
      <c r="K58" s="33"/>
      <c r="L58" s="113"/>
      <c r="P58" s="2"/>
      <c r="Q58" s="2"/>
      <c r="R58" s="2"/>
      <c r="S58" s="2"/>
      <c r="T58" s="2"/>
      <c r="U58" s="2"/>
      <c r="V58" s="2"/>
      <c r="W58" s="2"/>
      <c r="X58" s="2"/>
      <c r="Y58" s="2"/>
      <c r="Z58" s="2"/>
      <c r="AA58" s="2"/>
      <c r="AB58" s="2"/>
      <c r="AC58" s="2"/>
      <c r="AD58" s="2"/>
      <c r="AE58" s="2"/>
      <c r="AF58" s="2"/>
      <c r="AG58" s="2"/>
      <c r="AH58" s="2"/>
    </row>
    <row r="59" spans="1:34" ht="22.9">
      <c r="A59" s="38"/>
      <c r="B59" s="37" t="str">
        <f ca="1">B41</f>
        <v xml:space="preserve">Tungsten  </v>
      </c>
      <c r="C59" s="32"/>
      <c r="D59" s="339"/>
      <c r="E59" s="340"/>
      <c r="F59" s="44"/>
      <c r="G59" s="305"/>
      <c r="H59" s="306"/>
      <c r="I59" s="306"/>
      <c r="J59" s="307"/>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7" customHeight="1">
      <c r="A61" s="38"/>
      <c r="B61" s="250" t="str">
        <f ca="1">OFFSET(L!$C$1,MATCH("Declaration"&amp;ADDRESS(ROW(),COLUMN(),4),L!$A:$A,0)-1,SL,,)&amp;Q$37</f>
        <v>7) Have you identified all of the smelters supplying the 3TG to your supply chain?  (*)</v>
      </c>
      <c r="C61" s="9"/>
      <c r="D61" s="302" t="str">
        <f ca="1">D25</f>
        <v>Answer</v>
      </c>
      <c r="E61" s="302"/>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2.9">
      <c r="A62" s="38"/>
      <c r="B62" s="37" t="str">
        <f ca="1">B38</f>
        <v xml:space="preserve">Tantalum  </v>
      </c>
      <c r="C62" s="9"/>
      <c r="D62" s="303"/>
      <c r="E62" s="304"/>
      <c r="F62" s="44"/>
      <c r="G62" s="305"/>
      <c r="H62" s="306"/>
      <c r="I62" s="306"/>
      <c r="J62" s="307"/>
      <c r="K62" s="33"/>
      <c r="L62" s="113"/>
      <c r="P62" s="2"/>
      <c r="Q62" s="2"/>
      <c r="R62" s="2"/>
      <c r="S62" s="2"/>
      <c r="T62" s="2"/>
      <c r="U62" s="2"/>
      <c r="V62" s="2"/>
      <c r="W62" s="2"/>
      <c r="X62" s="2"/>
      <c r="Y62" s="2"/>
      <c r="Z62" s="2"/>
      <c r="AA62" s="2"/>
      <c r="AB62" s="2"/>
      <c r="AC62" s="2"/>
      <c r="AD62" s="2"/>
      <c r="AE62" s="2"/>
      <c r="AF62" s="2"/>
      <c r="AG62" s="2"/>
      <c r="AH62" s="2"/>
    </row>
    <row r="63" spans="1:34" ht="22.9">
      <c r="A63" s="38"/>
      <c r="B63" s="37" t="str">
        <f ca="1">B39</f>
        <v>Tin  (*)</v>
      </c>
      <c r="C63" s="9"/>
      <c r="D63" s="297" t="s">
        <v>473</v>
      </c>
      <c r="E63" s="298"/>
      <c r="F63" s="44"/>
      <c r="G63" s="305"/>
      <c r="H63" s="306"/>
      <c r="I63" s="306"/>
      <c r="J63" s="307"/>
      <c r="K63" s="33"/>
      <c r="L63" s="113"/>
      <c r="P63" s="2"/>
      <c r="Q63" s="2"/>
      <c r="R63" s="2"/>
      <c r="S63" s="2"/>
      <c r="T63" s="2"/>
      <c r="U63" s="2"/>
      <c r="V63" s="2"/>
      <c r="W63" s="2"/>
      <c r="X63" s="2"/>
      <c r="Y63" s="2"/>
      <c r="Z63" s="2"/>
      <c r="AA63" s="2"/>
      <c r="AB63" s="2"/>
      <c r="AC63" s="2"/>
      <c r="AD63" s="2"/>
      <c r="AE63" s="2"/>
      <c r="AF63" s="2"/>
      <c r="AG63" s="2"/>
      <c r="AH63" s="2"/>
    </row>
    <row r="64" spans="1:34" ht="22.9">
      <c r="A64" s="38"/>
      <c r="B64" s="37" t="str">
        <f ca="1">B40</f>
        <v>Gold  (*)</v>
      </c>
      <c r="C64" s="9"/>
      <c r="D64" s="297" t="s">
        <v>473</v>
      </c>
      <c r="E64" s="298"/>
      <c r="F64" s="44"/>
      <c r="G64" s="305"/>
      <c r="H64" s="306"/>
      <c r="I64" s="306"/>
      <c r="J64" s="307"/>
      <c r="K64" s="33"/>
      <c r="L64" s="113"/>
      <c r="P64" s="2"/>
      <c r="Q64" s="2"/>
      <c r="R64" s="2"/>
      <c r="S64" s="2"/>
      <c r="T64" s="2"/>
      <c r="U64" s="2"/>
      <c r="V64" s="2"/>
      <c r="W64" s="2"/>
      <c r="X64" s="2"/>
      <c r="Y64" s="2"/>
      <c r="Z64" s="2"/>
      <c r="AA64" s="2"/>
      <c r="AB64" s="2"/>
      <c r="AC64" s="2"/>
      <c r="AD64" s="2"/>
      <c r="AE64" s="2"/>
      <c r="AF64" s="2"/>
      <c r="AG64" s="2"/>
      <c r="AH64" s="2"/>
    </row>
    <row r="65" spans="1:34" ht="22.9">
      <c r="A65" s="38"/>
      <c r="B65" s="37" t="str">
        <f ca="1">B41</f>
        <v xml:space="preserve">Tungsten  </v>
      </c>
      <c r="C65" s="9"/>
      <c r="D65" s="297"/>
      <c r="E65" s="298"/>
      <c r="F65" s="44"/>
      <c r="G65" s="305"/>
      <c r="H65" s="306"/>
      <c r="I65" s="306"/>
      <c r="J65" s="307"/>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7" customHeight="1">
      <c r="A67" s="38"/>
      <c r="B67" s="41" t="str">
        <f ca="1">OFFSET(L!$C$1,MATCH("Declaration"&amp;ADDRESS(ROW(),COLUMN(),4),L!$A:$A,0)-1,SL,,)&amp;Q$37</f>
        <v>8) Has all applicable smelter information received by your company been reported in this declaration?  (*)</v>
      </c>
      <c r="C67" s="9"/>
      <c r="D67" s="302" t="str">
        <f ca="1">D25</f>
        <v>Answer</v>
      </c>
      <c r="E67" s="302"/>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2.9">
      <c r="A68" s="38"/>
      <c r="B68" s="37" t="str">
        <f ca="1">B38</f>
        <v xml:space="preserve">Tantalum  </v>
      </c>
      <c r="C68" s="32"/>
      <c r="D68" s="297"/>
      <c r="E68" s="298"/>
      <c r="F68" s="45"/>
      <c r="G68" s="305"/>
      <c r="H68" s="306"/>
      <c r="I68" s="306"/>
      <c r="J68" s="307"/>
      <c r="K68" s="33"/>
      <c r="L68" s="113"/>
      <c r="P68" s="2"/>
      <c r="Q68" s="2"/>
      <c r="R68" s="2"/>
      <c r="S68" s="2"/>
      <c r="T68" s="2"/>
      <c r="U68" s="2"/>
      <c r="V68" s="2"/>
      <c r="W68" s="2"/>
      <c r="X68" s="2"/>
      <c r="Y68" s="2"/>
      <c r="Z68" s="2"/>
      <c r="AA68" s="2"/>
      <c r="AB68" s="2"/>
      <c r="AC68" s="2"/>
      <c r="AD68" s="2"/>
      <c r="AE68" s="2"/>
      <c r="AF68" s="2"/>
      <c r="AG68" s="2"/>
      <c r="AH68" s="2"/>
    </row>
    <row r="69" spans="1:34" ht="22.9">
      <c r="A69" s="38"/>
      <c r="B69" s="37" t="str">
        <f ca="1">B39</f>
        <v>Tin  (*)</v>
      </c>
      <c r="C69" s="32"/>
      <c r="D69" s="297" t="s">
        <v>473</v>
      </c>
      <c r="E69" s="298"/>
      <c r="F69" s="45"/>
      <c r="G69" s="305"/>
      <c r="H69" s="306"/>
      <c r="I69" s="306"/>
      <c r="J69" s="307"/>
      <c r="K69" s="33"/>
      <c r="L69" s="113"/>
      <c r="P69" s="2"/>
      <c r="Q69" s="2"/>
      <c r="R69" s="2"/>
      <c r="S69" s="2"/>
      <c r="T69" s="2"/>
      <c r="U69" s="2"/>
      <c r="V69" s="2"/>
      <c r="W69" s="2"/>
      <c r="X69" s="2"/>
      <c r="Y69" s="2"/>
      <c r="Z69" s="2"/>
      <c r="AA69" s="2"/>
      <c r="AB69" s="2"/>
      <c r="AC69" s="2"/>
      <c r="AD69" s="2"/>
      <c r="AE69" s="2"/>
      <c r="AF69" s="2"/>
      <c r="AG69" s="2"/>
      <c r="AH69" s="2"/>
    </row>
    <row r="70" spans="1:34" ht="22.9">
      <c r="A70" s="38"/>
      <c r="B70" s="37" t="str">
        <f ca="1">B40</f>
        <v>Gold  (*)</v>
      </c>
      <c r="C70" s="32"/>
      <c r="D70" s="297" t="s">
        <v>473</v>
      </c>
      <c r="E70" s="298"/>
      <c r="F70" s="45"/>
      <c r="G70" s="305"/>
      <c r="H70" s="306"/>
      <c r="I70" s="306"/>
      <c r="J70" s="307"/>
      <c r="K70" s="33"/>
      <c r="L70" s="113"/>
      <c r="P70" s="2"/>
      <c r="Q70" s="2"/>
      <c r="R70" s="2"/>
      <c r="S70" s="2"/>
      <c r="T70" s="2"/>
      <c r="U70" s="2"/>
      <c r="V70" s="2"/>
      <c r="W70" s="2"/>
      <c r="X70" s="2"/>
      <c r="Y70" s="2"/>
      <c r="Z70" s="2"/>
      <c r="AA70" s="2"/>
      <c r="AB70" s="2"/>
      <c r="AC70" s="2"/>
      <c r="AD70" s="2"/>
      <c r="AE70" s="2"/>
      <c r="AF70" s="2"/>
      <c r="AG70" s="2"/>
      <c r="AH70" s="2"/>
    </row>
    <row r="71" spans="1:34" ht="22.9">
      <c r="A71" s="35"/>
      <c r="B71" s="37" t="str">
        <f ca="1">B41</f>
        <v xml:space="preserve">Tungsten  </v>
      </c>
      <c r="C71" s="46"/>
      <c r="D71" s="297"/>
      <c r="E71" s="298"/>
      <c r="F71" s="47"/>
      <c r="G71" s="305"/>
      <c r="H71" s="306"/>
      <c r="I71" s="306"/>
      <c r="J71" s="307"/>
      <c r="K71" s="36"/>
      <c r="L71" s="114"/>
      <c r="P71" s="2"/>
      <c r="Q71" s="2"/>
      <c r="R71" s="2"/>
      <c r="S71" s="2"/>
      <c r="T71" s="2"/>
      <c r="U71" s="2"/>
      <c r="V71" s="2"/>
      <c r="W71" s="2"/>
      <c r="X71" s="2"/>
      <c r="Y71" s="2"/>
      <c r="Z71" s="2"/>
      <c r="AA71" s="2"/>
      <c r="AB71" s="2"/>
      <c r="AC71" s="2"/>
      <c r="AD71" s="2"/>
      <c r="AE71" s="2"/>
      <c r="AF71" s="2"/>
      <c r="AG71" s="2"/>
      <c r="AH71" s="2"/>
    </row>
    <row r="72" spans="1:34" ht="14.6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4.6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8" t="str">
        <f ca="1">D25</f>
        <v>Answer</v>
      </c>
      <c r="E74" s="308"/>
      <c r="F74" s="50"/>
      <c r="G74" s="308" t="str">
        <f ca="1">G25</f>
        <v>Comments</v>
      </c>
      <c r="H74" s="308" t="e">
        <f>HLOOKUP(SL,LT,$O74,0)</f>
        <v>#NAME?</v>
      </c>
      <c r="I74" s="30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29.25">
      <c r="A75" s="38"/>
      <c r="B75" s="53" t="str">
        <f ca="1">OFFSET(L!$C$1,MATCH("Declaration"&amp;ADDRESS(ROW(),COLUMN(),4),L!$A:$A,0)-1,SL,,)&amp;$Q$37</f>
        <v>A. Have you established a responsible minerals sourcing policy? (*)</v>
      </c>
      <c r="C75" s="54"/>
      <c r="D75" s="297" t="s">
        <v>473</v>
      </c>
      <c r="E75" s="298"/>
      <c r="F75" s="54"/>
      <c r="G75" s="305"/>
      <c r="H75" s="306"/>
      <c r="I75" s="306"/>
      <c r="J75" s="307"/>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4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09" t="s">
        <v>15890</v>
      </c>
      <c r="H77" s="310"/>
      <c r="I77" s="310"/>
      <c r="J77" s="311"/>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305"/>
      <c r="H79" s="306"/>
      <c r="I79" s="306"/>
      <c r="J79" s="307"/>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305"/>
      <c r="H81" s="306"/>
      <c r="I81" s="306"/>
      <c r="J81" s="307"/>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305"/>
      <c r="H83" s="306"/>
      <c r="I83" s="306"/>
      <c r="J83" s="307"/>
      <c r="K83" s="33"/>
      <c r="L83" s="110" t="s">
        <v>1197</v>
      </c>
      <c r="M83" s="109"/>
      <c r="P83" s="2"/>
      <c r="Q83" s="2"/>
      <c r="R83" s="2"/>
      <c r="S83" s="2"/>
      <c r="T83" s="2"/>
      <c r="U83" s="2"/>
      <c r="V83" s="2"/>
      <c r="W83" s="2"/>
      <c r="X83" s="2"/>
      <c r="Y83" s="2"/>
      <c r="Z83" s="2"/>
      <c r="AA83" s="2"/>
      <c r="AB83" s="2"/>
      <c r="AC83" s="2"/>
      <c r="AD83" s="2"/>
      <c r="AE83" s="2"/>
      <c r="AF83" s="2"/>
      <c r="AG83" s="2"/>
      <c r="AH83" s="2"/>
    </row>
    <row r="84" spans="1:34" ht="14.6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5"/>
      <c r="H85" s="306"/>
      <c r="I85" s="306"/>
      <c r="J85" s="307"/>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450000000000003" customHeight="1">
      <c r="A87" s="38"/>
      <c r="B87" s="53" t="str">
        <f ca="1">OFFSET(L!$C$1,MATCH("Declaration"&amp;ADDRESS(ROW(),COLUMN(),4),L!$A:$A,0)-1,SL,,)&amp;$Q$37</f>
        <v>G. Does your review process include corrective action management? (*)</v>
      </c>
      <c r="C87" s="54"/>
      <c r="D87" s="297" t="s">
        <v>473</v>
      </c>
      <c r="E87" s="298"/>
      <c r="F87" s="54"/>
      <c r="G87" s="305"/>
      <c r="H87" s="306"/>
      <c r="I87" s="306"/>
      <c r="J87" s="307"/>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29.25">
      <c r="A89" s="38"/>
      <c r="B89" s="53" t="str">
        <f ca="1">OFFSET(L!$C$1,MATCH("Declaration"&amp;ADDRESS(ROW(),COLUMN(),4),L!$A:$A,0)-1,SL,,)&amp;$Q$37</f>
        <v>H. Is your company required to file an annual conflict minerals disclosure? (*)</v>
      </c>
      <c r="C89" s="54"/>
      <c r="D89" s="297" t="s">
        <v>474</v>
      </c>
      <c r="E89" s="298"/>
      <c r="F89" s="54"/>
      <c r="G89" s="305"/>
      <c r="H89" s="306"/>
      <c r="I89" s="306"/>
      <c r="J89" s="307"/>
      <c r="K89" s="33"/>
      <c r="L89" s="110" t="s">
        <v>1197</v>
      </c>
      <c r="M89" s="109"/>
      <c r="P89" s="2"/>
      <c r="Q89" s="2"/>
      <c r="R89" s="2"/>
      <c r="S89" s="2"/>
      <c r="T89" s="2"/>
      <c r="U89" s="2"/>
      <c r="V89" s="2"/>
      <c r="W89" s="2"/>
      <c r="X89" s="2"/>
      <c r="Y89" s="2"/>
      <c r="Z89" s="2"/>
      <c r="AA89" s="2"/>
      <c r="AB89" s="2"/>
      <c r="AC89" s="2"/>
      <c r="AD89" s="2"/>
      <c r="AE89" s="2"/>
      <c r="AF89" s="2"/>
      <c r="AG89" s="2"/>
      <c r="AH89" s="2"/>
    </row>
    <row r="90" spans="1:34" ht="14.6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D6F0AC6-8947-49E9-8E1E-D0C0B0E1C7BA}"/>
    <hyperlink ref="D20" r:id="rId4" xr:uid="{5421AF40-72FA-418C-9FE0-36A2CD90CC67}"/>
    <hyperlink ref="G77" r:id="rId5" xr:uid="{7E91B086-594A-4C61-B531-D2FC355D353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A18" sqref="A18"/>
    </sheetView>
  </sheetViews>
  <sheetFormatPr defaultColWidth="8.8203125" defaultRowHeight="12.4"/>
  <cols>
    <col min="1" max="1" width="13.5859375" style="210" customWidth="1"/>
    <col min="2" max="2" width="13.3515625" style="212" customWidth="1"/>
    <col min="3" max="3" width="40.5859375" style="212" customWidth="1"/>
    <col min="4" max="4" width="30.5859375" style="212" customWidth="1"/>
    <col min="5" max="5" width="20.8203125" style="212" customWidth="1"/>
    <col min="6" max="7" width="13.8203125" style="212" customWidth="1"/>
    <col min="8" max="8" width="25.17578125" style="212" customWidth="1"/>
    <col min="9" max="9" width="24.17578125" style="212" customWidth="1"/>
    <col min="10" max="10" width="18.3515625" style="212" customWidth="1"/>
    <col min="11" max="11" width="27.3515625" style="212" customWidth="1"/>
    <col min="12" max="12" width="20.5859375" style="212" customWidth="1"/>
    <col min="13" max="13" width="35.17578125" style="212" customWidth="1"/>
    <col min="14" max="14" width="42.17578125" style="212" customWidth="1"/>
    <col min="15" max="15" width="32.17578125" style="212" customWidth="1"/>
    <col min="16" max="16" width="22.8203125" style="212" customWidth="1"/>
    <col min="17" max="17" width="43.5859375" style="212" customWidth="1"/>
    <col min="18" max="18" width="35.8203125" style="212" hidden="1" customWidth="1"/>
    <col min="19" max="20" width="17.8203125" style="212" hidden="1" customWidth="1"/>
    <col min="21" max="21" width="8.8203125" style="212" hidden="1" customWidth="1"/>
    <col min="22" max="22" width="6.17578125" style="212" hidden="1" customWidth="1"/>
    <col min="23" max="23" width="8.5859375" style="212" hidden="1" customWidth="1"/>
    <col min="24" max="24" width="8.8203125" style="212" hidden="1" customWidth="1"/>
    <col min="25" max="27" width="4.3515625" style="212" hidden="1" customWidth="1"/>
    <col min="28" max="28" width="7.8203125" style="212" hidden="1" customWidth="1"/>
    <col min="29" max="33" width="4.3515625" style="212" hidden="1" customWidth="1"/>
    <col min="34" max="34" width="14.5859375" style="212" hidden="1" customWidth="1"/>
    <col min="35" max="39" width="8.8203125" style="212" customWidth="1"/>
    <col min="40" max="16384" width="8.820312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75">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 customHeight="1">
      <c r="A5" s="245" t="s">
        <v>653</v>
      </c>
      <c r="B5" s="166" t="str">
        <f ca="1">IF(LEN(A5)=0,"",INDEX('Smelter Look-up'!$A:$A,MATCH($A5,'Smelter Look-up'!$E:$E,0)))</f>
        <v>Gold</v>
      </c>
      <c r="C5" s="170" t="str">
        <f ca="1">IF(LEN(A5)=0,"",INDEX('Smelter Look-up'!$C:$C,MATCH($A5,'Smelter Look-up'!$E:$E,0)))</f>
        <v>Heraeus Metals Hong Kong Ltd.</v>
      </c>
      <c r="D5" s="213"/>
      <c r="E5" s="166" t="str">
        <f ca="1">IF(ISERROR($V5),"",OFFSET('Smelter Look-up'!$D$4,$V5-4,0)&amp;"")</f>
        <v>CHINA</v>
      </c>
      <c r="F5" s="166" t="str">
        <f ca="1">IF(ISERROR($V5),"",OFFSET('Smelter Look-up'!$E$4,$V5-4,0))</f>
        <v>CID000707</v>
      </c>
      <c r="G5" s="166" t="str">
        <f ca="1">IF(C5=$X$4,IF(ISERROR($V5),"Enter smelter details","RMI"),IF(ISERROR($V5),"",OFFSET('Smelter Look-up'!$F$4,$V5-4,0)))</f>
        <v>RMI</v>
      </c>
      <c r="H5" s="167">
        <f ca="1">IF(ISERROR($V5),"",OFFSET('Smelter Look-up'!$G$4,$V5-4,0))</f>
        <v>0</v>
      </c>
      <c r="I5" s="168" t="str">
        <f ca="1">IF(ISERROR($V5),"",OFFSET('Smelter Look-up'!$H$4,$V5-4,0))</f>
        <v>Fanling</v>
      </c>
      <c r="J5" s="168" t="str">
        <f ca="1">IF(ISERROR($V5),"",OFFSET('Smelter Look-up'!$I$4,$V5-4,0))</f>
        <v>Hong Kong SAR</v>
      </c>
      <c r="K5" s="207"/>
      <c r="L5" s="207"/>
      <c r="M5" s="207"/>
      <c r="N5" s="207"/>
      <c r="O5" s="207"/>
      <c r="P5" s="169"/>
      <c r="Q5" s="208"/>
      <c r="R5" s="166" t="str">
        <f ca="1">IF(ISERROR($V5),"",OFFSET('Smelter Look-up'!$C$4,$V5-4,0)&amp;"")</f>
        <v>Heraeus Metals Hong Kong Ltd.</v>
      </c>
      <c r="S5" s="165" t="str">
        <f ca="1">IF(B5="","",IF(ISERROR(MATCH($E5,CL,0)),"Unknown",INDIRECT("'C'!$A$"&amp;MATCH($E5,CL,0)+1)))</f>
        <v>CN</v>
      </c>
      <c r="T5" s="165" t="str">
        <f ca="1">IF(B5="","",IF(ISERROR(MATCH($J5,SorP!$B$1:$B$6261,0)),"",INDIRECT("'SorP'!$A$"&amp;MATCH($S5&amp;$J5,SorP!C:C,0))))</f>
        <v/>
      </c>
      <c r="U5" s="185"/>
      <c r="V5" s="209">
        <f ca="1">IF(C5="",NA(),IF(OR(C5="Smelter not listed",C5="Smelter not yet identified"),MATCH($B5&amp;$D5,'Smelter Look-up'!$J:$J,0),MATCH($B5&amp;$C5,'Smelter Look-up'!$J:$J,0)))</f>
        <v>123</v>
      </c>
      <c r="X5" s="210">
        <f t="shared" ref="X5" ca="1" si="0">IF(AND(C5="Smelter not listed",OR(LEN(D5)=0,LEN(E5)=0)),1,0)</f>
        <v>0</v>
      </c>
      <c r="AB5" s="211" t="str">
        <f t="shared" ref="AB5" ca="1" si="1">B5&amp;C5</f>
        <v>GoldHeraeus Metals Hong Kong Ltd.</v>
      </c>
    </row>
    <row r="6" spans="1:34" s="210" customFormat="1" ht="20.2" customHeight="1">
      <c r="A6" s="245" t="s">
        <v>663</v>
      </c>
      <c r="B6" s="166" t="str">
        <f ca="1">IF(LEN(A6)=0,"",INDEX('Smelter Look-up'!$A:$A,MATCH($A6,'Smelter Look-up'!$E:$E,0)))</f>
        <v>Gold</v>
      </c>
      <c r="C6" s="170" t="str">
        <f ca="1">IF(LEN(A6)=0,"",INDEX('Smelter Look-up'!$C:$C,MATCH($A6,'Smelter Look-up'!$E:$E,0)))</f>
        <v>Asahi Refining Canada Ltd.</v>
      </c>
      <c r="D6" s="213"/>
      <c r="E6" s="166" t="str">
        <f ca="1">IF(ISERROR($V6),"",OFFSET('Smelter Look-up'!$D$4,$V6-4,0)&amp;"")</f>
        <v>CANADA</v>
      </c>
      <c r="F6" s="166" t="str">
        <f ca="1">IF(ISERROR($V6),"",OFFSET('Smelter Look-up'!$E$4,$V6-4,0))</f>
        <v>CID000924</v>
      </c>
      <c r="G6" s="166" t="str">
        <f ca="1">IF(C6=$X$4,IF(ISERROR($V6),"Enter smelter details","RMI"),IF(ISERROR($V6),"",OFFSET('Smelter Look-up'!$F$4,$V6-4,0)))</f>
        <v>RMI</v>
      </c>
      <c r="H6" s="167">
        <f ca="1">IF(ISERROR($V6),"",OFFSET('Smelter Look-up'!$G$4,$V6-4,0))</f>
        <v>0</v>
      </c>
      <c r="I6" s="168" t="str">
        <f ca="1">IF(ISERROR($V6),"",OFFSET('Smelter Look-up'!$H$4,$V6-4,0))</f>
        <v>Brampton</v>
      </c>
      <c r="J6" s="168" t="str">
        <f ca="1">IF(ISERROR($V6),"",OFFSET('Smelter Look-up'!$I$4,$V6-4,0))</f>
        <v>Ontario</v>
      </c>
      <c r="K6" s="207"/>
      <c r="L6" s="207"/>
      <c r="M6" s="207"/>
      <c r="N6" s="207"/>
      <c r="O6" s="207"/>
      <c r="P6" s="169"/>
      <c r="Q6" s="208"/>
      <c r="R6" s="166" t="str">
        <f ca="1">IF(ISERROR($V6),"",OFFSET('Smelter Look-up'!$C$4,$V6-4,0)&amp;"")</f>
        <v>Asahi Refining Canada Ltd.</v>
      </c>
      <c r="S6" s="165" t="str">
        <f t="shared" ref="S6:S37" ca="1" si="2">IF(B6="","",IF(ISERROR(MATCH($E6,CL,0)),"Unknown",INDIRECT("'C'!$A$"&amp;MATCH($E6,CL,0)+1)))</f>
        <v>CA</v>
      </c>
      <c r="T6" s="165" t="str">
        <f ca="1">IF(B6="","",IF(ISERROR(MATCH($J6,SorP!$B$1:$B$6261,0)),"",INDIRECT("'SorP'!$A$"&amp;MATCH($S6&amp;$J6,SorP!C:C,0))))</f>
        <v>CA-ON</v>
      </c>
      <c r="U6" s="185"/>
      <c r="V6" s="209">
        <f ca="1">IF(C6="",NA(),IF(OR(C6="Smelter not listed",C6="Smelter not yet identified"),MATCH($B6&amp;$D6,'Smelter Look-up'!$J:$J,0),MATCH($B6&amp;$C6,'Smelter Look-up'!$J:$J,0)))</f>
        <v>34</v>
      </c>
      <c r="X6" s="210">
        <f t="shared" ref="X6:X37" ca="1" si="3">IF(AND(C6="Smelter not listed",OR(LEN(D6)=0,LEN(E6)=0)),1,0)</f>
        <v>0</v>
      </c>
      <c r="AB6" s="211" t="str">
        <f t="shared" ref="AB6:AB37" ca="1" si="4">B6&amp;C6</f>
        <v>GoldAsahi Refining Canada Ltd.</v>
      </c>
    </row>
    <row r="7" spans="1:34" s="210" customFormat="1" ht="20.2" customHeight="1">
      <c r="A7" s="245" t="s">
        <v>675</v>
      </c>
      <c r="B7" s="166" t="str">
        <f ca="1">IF(LEN(A7)=0,"",INDEX('Smelter Look-up'!$A:$A,MATCH($A7,'Smelter Look-up'!$E:$E,0)))</f>
        <v>Gold</v>
      </c>
      <c r="C7" s="170" t="str">
        <f ca="1">IF(LEN(A7)=0,"",INDEX('Smelter Look-up'!$C:$C,MATCH($A7,'Smelter Look-up'!$E:$E,0)))</f>
        <v>Materion</v>
      </c>
      <c r="D7" s="213"/>
      <c r="E7" s="166" t="str">
        <f ca="1">IF(ISERROR($V7),"",OFFSET('Smelter Look-up'!$D$4,$V7-4,0)&amp;"")</f>
        <v>UNITED STATES OF AMERICA</v>
      </c>
      <c r="F7" s="166" t="str">
        <f ca="1">IF(ISERROR($V7),"",OFFSET('Smelter Look-up'!$E$4,$V7-4,0))</f>
        <v>CID001113</v>
      </c>
      <c r="G7" s="166" t="str">
        <f ca="1">IF(C7=$X$4,IF(ISERROR($V7),"Enter smelter details","RMI"),IF(ISERROR($V7),"",OFFSET('Smelter Look-up'!$F$4,$V7-4,0)))</f>
        <v>RMI</v>
      </c>
      <c r="H7" s="167">
        <f ca="1">IF(ISERROR($V7),"",OFFSET('Smelter Look-up'!$G$4,$V7-4,0))</f>
        <v>0</v>
      </c>
      <c r="I7" s="168" t="str">
        <f ca="1">IF(ISERROR($V7),"",OFFSET('Smelter Look-up'!$H$4,$V7-4,0))</f>
        <v>Buffalo</v>
      </c>
      <c r="J7" s="168" t="str">
        <f ca="1">IF(ISERROR($V7),"",OFFSET('Smelter Look-up'!$I$4,$V7-4,0))</f>
        <v>New York</v>
      </c>
      <c r="K7" s="207"/>
      <c r="L7" s="207"/>
      <c r="M7" s="207"/>
      <c r="N7" s="207"/>
      <c r="O7" s="207"/>
      <c r="P7" s="169"/>
      <c r="Q7" s="208"/>
      <c r="R7" s="166" t="str">
        <f ca="1">IF(ISERROR($V7),"",OFFSET('Smelter Look-up'!$C$4,$V7-4,0)&amp;"")</f>
        <v>Materion</v>
      </c>
      <c r="S7" s="165" t="str">
        <f t="shared" ca="1" si="2"/>
        <v>US</v>
      </c>
      <c r="T7" s="165" t="str">
        <f ca="1">IF(B7="","",IF(ISERROR(MATCH($J7,SorP!$B$1:$B$6261,0)),"",INDIRECT("'SorP'!$A$"&amp;MATCH($S7&amp;$J7,SorP!C:C,0))))</f>
        <v>US-NY</v>
      </c>
      <c r="U7" s="185"/>
      <c r="V7" s="209">
        <f ca="1">IF(C7="",NA(),IF(OR(C7="Smelter not listed",C7="Smelter not yet identified"),MATCH($B7&amp;$D7,'Smelter Look-up'!$J:$J,0),MATCH($B7&amp;$C7,'Smelter Look-up'!$J:$J,0)))</f>
        <v>184</v>
      </c>
      <c r="X7" s="210">
        <f t="shared" ca="1" si="3"/>
        <v>0</v>
      </c>
      <c r="AB7" s="211" t="str">
        <f t="shared" ca="1" si="4"/>
        <v>GoldMaterion</v>
      </c>
    </row>
    <row r="8" spans="1:34" s="210" customFormat="1" ht="20.2" customHeight="1">
      <c r="A8" s="245" t="s">
        <v>680</v>
      </c>
      <c r="B8" s="166" t="str">
        <f ca="1">IF(LEN(A8)=0,"",INDEX('Smelter Look-up'!$A:$A,MATCH($A8,'Smelter Look-up'!$E:$E,0)))</f>
        <v>Gold</v>
      </c>
      <c r="C8" s="170" t="str">
        <f ca="1">IF(LEN(A8)=0,"",INDEX('Smelter Look-up'!$C:$C,MATCH($A8,'Smelter Look-up'!$E:$E,0)))</f>
        <v>Metalor USA Refining Corporation</v>
      </c>
      <c r="D8" s="213"/>
      <c r="E8" s="166" t="str">
        <f ca="1">IF(ISERROR($V8),"",OFFSET('Smelter Look-up'!$D$4,$V8-4,0)&amp;"")</f>
        <v>UNITED STATES OF AMERICA</v>
      </c>
      <c r="F8" s="166" t="str">
        <f ca="1">IF(ISERROR($V8),"",OFFSET('Smelter Look-up'!$E$4,$V8-4,0))</f>
        <v>CID001157</v>
      </c>
      <c r="G8" s="166" t="str">
        <f ca="1">IF(C8=$X$4,IF(ISERROR($V8),"Enter smelter details","RMI"),IF(ISERROR($V8),"",OFFSET('Smelter Look-up'!$F$4,$V8-4,0)))</f>
        <v>RMI</v>
      </c>
      <c r="H8" s="167">
        <f ca="1">IF(ISERROR($V8),"",OFFSET('Smelter Look-up'!$G$4,$V8-4,0))</f>
        <v>0</v>
      </c>
      <c r="I8" s="168" t="str">
        <f ca="1">IF(ISERROR($V8),"",OFFSET('Smelter Look-up'!$H$4,$V8-4,0))</f>
        <v>North Attleboro</v>
      </c>
      <c r="J8" s="168" t="str">
        <f ca="1">IF(ISERROR($V8),"",OFFSET('Smelter Look-up'!$I$4,$V8-4,0))</f>
        <v>Massachusetts</v>
      </c>
      <c r="K8" s="207"/>
      <c r="L8" s="207"/>
      <c r="M8" s="207"/>
      <c r="N8" s="207"/>
      <c r="O8" s="207"/>
      <c r="P8" s="169"/>
      <c r="Q8" s="208"/>
      <c r="R8" s="166" t="str">
        <f ca="1">IF(ISERROR($V8),"",OFFSET('Smelter Look-up'!$C$4,$V8-4,0)&amp;"")</f>
        <v>Metalor USA Refining Corporation</v>
      </c>
      <c r="S8" s="165" t="str">
        <f t="shared" ca="1" si="2"/>
        <v>US</v>
      </c>
      <c r="T8" s="165" t="str">
        <f ca="1">IF(B8="","",IF(ISERROR(MATCH($J8,SorP!$B$1:$B$6261,0)),"",INDIRECT("'SorP'!$A$"&amp;MATCH($S8&amp;$J8,SorP!C:C,0))))</f>
        <v>US-MA</v>
      </c>
      <c r="U8" s="185"/>
      <c r="V8" s="209">
        <f ca="1">IF(C8="",NA(),IF(OR(C8="Smelter not listed",C8="Smelter not yet identified"),MATCH($B8&amp;$D8,'Smelter Look-up'!$J:$J,0),MATCH($B8&amp;$C8,'Smelter Look-up'!$J:$J,0)))</f>
        <v>197</v>
      </c>
      <c r="X8" s="210">
        <f t="shared" ca="1" si="3"/>
        <v>0</v>
      </c>
      <c r="AB8" s="211" t="str">
        <f t="shared" ca="1" si="4"/>
        <v>GoldMetalor USA Refining Corporation</v>
      </c>
    </row>
    <row r="9" spans="1:34" s="210" customFormat="1" ht="20.2" customHeight="1">
      <c r="A9" s="245" t="s">
        <v>681</v>
      </c>
      <c r="B9" s="166" t="str">
        <f ca="1">IF(LEN(A9)=0,"",INDEX('Smelter Look-up'!$A:$A,MATCH($A9,'Smelter Look-up'!$E:$E,0)))</f>
        <v>Gold</v>
      </c>
      <c r="C9" s="170" t="str">
        <f ca="1">IF(LEN(A9)=0,"",INDEX('Smelter Look-up'!$C:$C,MATCH($A9,'Smelter Look-up'!$E:$E,0)))</f>
        <v>Metalurgica Met-Mex Penoles S.A. De C.V.</v>
      </c>
      <c r="D9" s="213"/>
      <c r="E9" s="166" t="str">
        <f ca="1">IF(ISERROR($V9),"",OFFSET('Smelter Look-up'!$D$4,$V9-4,0)&amp;"")</f>
        <v>MEXICO</v>
      </c>
      <c r="F9" s="166" t="str">
        <f ca="1">IF(ISERROR($V9),"",OFFSET('Smelter Look-up'!$E$4,$V9-4,0))</f>
        <v>CID001161</v>
      </c>
      <c r="G9" s="166" t="str">
        <f ca="1">IF(C9=$X$4,IF(ISERROR($V9),"Enter smelter details","RMI"),IF(ISERROR($V9),"",OFFSET('Smelter Look-up'!$F$4,$V9-4,0)))</f>
        <v>RMI</v>
      </c>
      <c r="H9" s="167">
        <f ca="1">IF(ISERROR($V9),"",OFFSET('Smelter Look-up'!$G$4,$V9-4,0))</f>
        <v>0</v>
      </c>
      <c r="I9" s="168" t="str">
        <f ca="1">IF(ISERROR($V9),"",OFFSET('Smelter Look-up'!$H$4,$V9-4,0))</f>
        <v>Torreon</v>
      </c>
      <c r="J9" s="168" t="str">
        <f ca="1">IF(ISERROR($V9),"",OFFSET('Smelter Look-up'!$I$4,$V9-4,0))</f>
        <v>Coahuila de Zaragoza</v>
      </c>
      <c r="K9" s="207"/>
      <c r="L9" s="207"/>
      <c r="M9" s="207"/>
      <c r="N9" s="207"/>
      <c r="O9" s="207"/>
      <c r="P9" s="169"/>
      <c r="Q9" s="208"/>
      <c r="R9" s="166" t="str">
        <f ca="1">IF(ISERROR($V9),"",OFFSET('Smelter Look-up'!$C$4,$V9-4,0)&amp;"")</f>
        <v>Metalurgica Met-Mex Penoles S.A. De C.V.</v>
      </c>
      <c r="S9" s="165" t="str">
        <f t="shared" ca="1" si="2"/>
        <v>MX</v>
      </c>
      <c r="T9" s="165" t="str">
        <f ca="1">IF(B9="","",IF(ISERROR(MATCH($J9,SorP!$B$1:$B$6261,0)),"",INDIRECT("'SorP'!$A$"&amp;MATCH($S9&amp;$J9,SorP!C:C,0))))</f>
        <v>MX-COA</v>
      </c>
      <c r="U9" s="185"/>
      <c r="V9" s="209">
        <f ca="1">IF(C9="",NA(),IF(OR(C9="Smelter not listed",C9="Smelter not yet identified"),MATCH($B9&amp;$D9,'Smelter Look-up'!$J:$J,0),MATCH($B9&amp;$C9,'Smelter Look-up'!$J:$J,0)))</f>
        <v>198</v>
      </c>
      <c r="X9" s="210">
        <f t="shared" ca="1" si="3"/>
        <v>0</v>
      </c>
      <c r="AB9" s="211" t="str">
        <f t="shared" ca="1" si="4"/>
        <v>GoldMetalurgica Met-Mex Penoles S.A. De C.V.</v>
      </c>
    </row>
    <row r="10" spans="1:34" s="210" customFormat="1" ht="20.2" customHeight="1">
      <c r="A10" s="245" t="s">
        <v>696</v>
      </c>
      <c r="B10" s="166" t="str">
        <f ca="1">IF(LEN(A10)=0,"",INDEX('Smelter Look-up'!$A:$A,MATCH($A10,'Smelter Look-up'!$E:$E,0)))</f>
        <v>Gold</v>
      </c>
      <c r="C10" s="170" t="str">
        <f ca="1">IF(LEN(A10)=0,"",INDEX('Smelter Look-up'!$C:$C,MATCH($A10,'Smelter Look-up'!$E:$E,0)))</f>
        <v>Royal Canadian Mint</v>
      </c>
      <c r="D10" s="213"/>
      <c r="E10" s="166" t="str">
        <f ca="1">IF(ISERROR($V10),"",OFFSET('Smelter Look-up'!$D$4,$V10-4,0)&amp;"")</f>
        <v>CANADA</v>
      </c>
      <c r="F10" s="166" t="str">
        <f ca="1">IF(ISERROR($V10),"",OFFSET('Smelter Look-up'!$E$4,$V10-4,0))</f>
        <v>CID001534</v>
      </c>
      <c r="G10" s="166" t="str">
        <f ca="1">IF(C10=$X$4,IF(ISERROR($V10),"Enter smelter details","RMI"),IF(ISERROR($V10),"",OFFSET('Smelter Look-up'!$F$4,$V10-4,0)))</f>
        <v>RMI</v>
      </c>
      <c r="H10" s="167">
        <f ca="1">IF(ISERROR($V10),"",OFFSET('Smelter Look-up'!$G$4,$V10-4,0))</f>
        <v>0</v>
      </c>
      <c r="I10" s="168" t="str">
        <f ca="1">IF(ISERROR($V10),"",OFFSET('Smelter Look-up'!$H$4,$V10-4,0))</f>
        <v>Ottawa</v>
      </c>
      <c r="J10" s="168" t="str">
        <f ca="1">IF(ISERROR($V10),"",OFFSET('Smelter Look-up'!$I$4,$V10-4,0))</f>
        <v>Ontario</v>
      </c>
      <c r="K10" s="207"/>
      <c r="L10" s="207"/>
      <c r="M10" s="207"/>
      <c r="N10" s="207"/>
      <c r="O10" s="207"/>
      <c r="P10" s="169"/>
      <c r="Q10" s="208"/>
      <c r="R10" s="166" t="str">
        <f ca="1">IF(ISERROR($V10),"",OFFSET('Smelter Look-up'!$C$4,$V10-4,0)&amp;"")</f>
        <v>Royal Canadian Mint</v>
      </c>
      <c r="S10" s="165" t="str">
        <f t="shared" ca="1" si="2"/>
        <v>CA</v>
      </c>
      <c r="T10" s="165" t="str">
        <f ca="1">IF(B10="","",IF(ISERROR(MATCH($J10,SorP!$B$1:$B$6261,0)),"",INDIRECT("'SorP'!$A$"&amp;MATCH($S10&amp;$J10,SorP!C:C,0))))</f>
        <v>CA-ON</v>
      </c>
      <c r="U10" s="185"/>
      <c r="V10" s="209">
        <f ca="1">IF(C10="",NA(),IF(OR(C10="Smelter not listed",C10="Smelter not yet identified"),MATCH($B10&amp;$D10,'Smelter Look-up'!$J:$J,0),MATCH($B10&amp;$C10,'Smelter Look-up'!$J:$J,0)))</f>
        <v>245</v>
      </c>
      <c r="X10" s="210">
        <f t="shared" ca="1" si="3"/>
        <v>0</v>
      </c>
      <c r="AB10" s="211" t="str">
        <f t="shared" ca="1" si="4"/>
        <v>GoldRoyal Canadian Mint</v>
      </c>
    </row>
    <row r="11" spans="1:34" s="210" customFormat="1" ht="20.2" customHeight="1">
      <c r="A11" s="245" t="s">
        <v>710</v>
      </c>
      <c r="B11" s="166" t="str">
        <f ca="1">IF(LEN(A11)=0,"",INDEX('Smelter Look-up'!$A:$A,MATCH($A11,'Smelter Look-up'!$E:$E,0)))</f>
        <v>Gold</v>
      </c>
      <c r="C11" s="170" t="str">
        <f ca="1">IF(LEN(A11)=0,"",INDEX('Smelter Look-up'!$C:$C,MATCH($A11,'Smelter Look-up'!$E:$E,0)))</f>
        <v>Umicore S.A. Business Unit Precious Metals Refining</v>
      </c>
      <c r="D11" s="213"/>
      <c r="E11" s="166" t="str">
        <f ca="1">IF(ISERROR($V11),"",OFFSET('Smelter Look-up'!$D$4,$V11-4,0)&amp;"")</f>
        <v>BELGIUM</v>
      </c>
      <c r="F11" s="166" t="str">
        <f ca="1">IF(ISERROR($V11),"",OFFSET('Smelter Look-up'!$E$4,$V11-4,0))</f>
        <v>CID001980</v>
      </c>
      <c r="G11" s="166" t="str">
        <f ca="1">IF(C11=$X$4,IF(ISERROR($V11),"Enter smelter details","RMI"),IF(ISERROR($V11),"",OFFSET('Smelter Look-up'!$F$4,$V11-4,0)))</f>
        <v>RMI</v>
      </c>
      <c r="H11" s="167">
        <f ca="1">IF(ISERROR($V11),"",OFFSET('Smelter Look-up'!$G$4,$V11-4,0))</f>
        <v>0</v>
      </c>
      <c r="I11" s="168" t="str">
        <f ca="1">IF(ISERROR($V11),"",OFFSET('Smelter Look-up'!$H$4,$V11-4,0))</f>
        <v>Hoboken</v>
      </c>
      <c r="J11" s="168" t="str">
        <f ca="1">IF(ISERROR($V11),"",OFFSET('Smelter Look-up'!$I$4,$V11-4,0))</f>
        <v>Antwerpen</v>
      </c>
      <c r="K11" s="207"/>
      <c r="L11" s="207"/>
      <c r="M11" s="207"/>
      <c r="N11" s="207"/>
      <c r="O11" s="207"/>
      <c r="P11" s="169"/>
      <c r="Q11" s="208"/>
      <c r="R11" s="166" t="str">
        <f ca="1">IF(ISERROR($V11),"",OFFSET('Smelter Look-up'!$C$4,$V11-4,0)&amp;"")</f>
        <v>Umicore S.A. Business Unit Precious Metals Refining</v>
      </c>
      <c r="S11" s="165" t="str">
        <f t="shared" ca="1" si="2"/>
        <v>BE</v>
      </c>
      <c r="T11" s="165" t="str">
        <f ca="1">IF(B11="","",IF(ISERROR(MATCH($J11,SorP!$B$1:$B$6261,0)),"",INDIRECT("'SorP'!$A$"&amp;MATCH($S11&amp;$J11,SorP!C:C,0))))</f>
        <v>BE-VAN</v>
      </c>
      <c r="U11" s="185"/>
      <c r="V11" s="209">
        <f ca="1">IF(C11="",NA(),IF(OR(C11="Smelter not listed",C11="Smelter not yet identified"),MATCH($B11&amp;$D11,'Smelter Look-up'!$J:$J,0),MATCH($B11&amp;$C11,'Smelter Look-up'!$J:$J,0)))</f>
        <v>319</v>
      </c>
      <c r="X11" s="210">
        <f t="shared" ca="1" si="3"/>
        <v>0</v>
      </c>
      <c r="AB11" s="211" t="str">
        <f t="shared" ca="1" si="4"/>
        <v>GoldUmicore S.A. Business Unit Precious Metals Refining</v>
      </c>
    </row>
    <row r="12" spans="1:34" s="210" customFormat="1" ht="20.2" customHeight="1">
      <c r="A12" s="245" t="s">
        <v>643</v>
      </c>
      <c r="B12" s="166" t="str">
        <f ca="1">IF(LEN(A12)=0,"",INDEX('Smelter Look-up'!$A:$A,MATCH($A12,'Smelter Look-up'!$E:$E,0)))</f>
        <v>Gold</v>
      </c>
      <c r="C12" s="170" t="str">
        <f ca="1">IF(LEN(A12)=0,"",INDEX('Smelter Look-up'!$C:$C,MATCH($A12,'Smelter Look-up'!$E:$E,0)))</f>
        <v>Glencore Canada Corporation - CCR Refinery</v>
      </c>
      <c r="D12" s="213"/>
      <c r="E12" s="166" t="str">
        <f ca="1">IF(ISERROR($V12),"",OFFSET('Smelter Look-up'!$D$4,$V12-4,0)&amp;"")</f>
        <v>CANADA</v>
      </c>
      <c r="F12" s="166" t="str">
        <f ca="1">IF(ISERROR($V12),"",OFFSET('Smelter Look-up'!$E$4,$V12-4,0))</f>
        <v>CID000185</v>
      </c>
      <c r="G12" s="166" t="str">
        <f ca="1">IF(C12=$X$4,IF(ISERROR($V12),"Enter smelter details","RMI"),IF(ISERROR($V12),"",OFFSET('Smelter Look-up'!$F$4,$V12-4,0)))</f>
        <v>RMI</v>
      </c>
      <c r="H12" s="167">
        <f ca="1">IF(ISERROR($V12),"",OFFSET('Smelter Look-up'!$G$4,$V12-4,0))</f>
        <v>0</v>
      </c>
      <c r="I12" s="168" t="str">
        <f ca="1">IF(ISERROR($V12),"",OFFSET('Smelter Look-up'!$H$4,$V12-4,0))</f>
        <v>Montréal</v>
      </c>
      <c r="J12" s="168" t="str">
        <f ca="1">IF(ISERROR($V12),"",OFFSET('Smelter Look-up'!$I$4,$V12-4,0))</f>
        <v>Quebec</v>
      </c>
      <c r="K12" s="207"/>
      <c r="L12" s="207"/>
      <c r="M12" s="207"/>
      <c r="N12" s="207"/>
      <c r="O12" s="207"/>
      <c r="P12" s="169"/>
      <c r="Q12" s="208"/>
      <c r="R12" s="166" t="str">
        <f ca="1">IF(ISERROR($V12),"",OFFSET('Smelter Look-up'!$C$4,$V12-4,0)&amp;"")</f>
        <v>Glencore Canada Corporation - CCR Refinery</v>
      </c>
      <c r="S12" s="165" t="str">
        <f t="shared" ca="1" si="2"/>
        <v>CA</v>
      </c>
      <c r="T12" s="165" t="str">
        <f ca="1">IF(B12="","",IF(ISERROR(MATCH($J12,SorP!$B$1:$B$6261,0)),"",INDIRECT("'SorP'!$A$"&amp;MATCH($S12&amp;$J12,SorP!C:C,0))))</f>
        <v>CA-QC</v>
      </c>
      <c r="U12" s="185"/>
      <c r="V12" s="209">
        <f ca="1">IF(C12="",NA(),IF(OR(C12="Smelter not listed",C12="Smelter not yet identified"),MATCH($B12&amp;$D12,'Smelter Look-up'!$J:$J,0),MATCH($B12&amp;$C12,'Smelter Look-up'!$J:$J,0)))</f>
        <v>105</v>
      </c>
      <c r="X12" s="210">
        <f t="shared" ca="1" si="3"/>
        <v>0</v>
      </c>
      <c r="AB12" s="211" t="str">
        <f t="shared" ca="1" si="4"/>
        <v>GoldGlencore Canada Corporation - CCR Refinery</v>
      </c>
    </row>
    <row r="13" spans="1:34" s="210" customFormat="1" ht="20.2" customHeight="1">
      <c r="A13" s="245" t="s">
        <v>743</v>
      </c>
      <c r="B13" s="166" t="str">
        <f ca="1">IF(LEN(A13)=0,"",INDEX('Smelter Look-up'!$A:$A,MATCH($A13,'Smelter Look-up'!$E:$E,0)))</f>
        <v>Tin</v>
      </c>
      <c r="C13" s="170" t="str">
        <f ca="1">IF(LEN(A13)=0,"",INDEX('Smelter Look-up'!$C:$C,MATCH($A13,'Smelter Look-up'!$E:$E,0)))</f>
        <v>Mineracao Taboca S.A.</v>
      </c>
      <c r="D13" s="213"/>
      <c r="E13" s="166" t="str">
        <f ca="1">IF(ISERROR($V13),"",OFFSET('Smelter Look-up'!$D$4,$V13-4,0)&amp;"")</f>
        <v>BRAZIL</v>
      </c>
      <c r="F13" s="166" t="str">
        <f ca="1">IF(ISERROR($V13),"",OFFSET('Smelter Look-up'!$E$4,$V13-4,0))</f>
        <v>CID001173</v>
      </c>
      <c r="G13" s="166" t="str">
        <f ca="1">IF(C13=$X$4,IF(ISERROR($V13),"Enter smelter details","RMI"),IF(ISERROR($V13),"",OFFSET('Smelter Look-up'!$F$4,$V13-4,0)))</f>
        <v>RMI</v>
      </c>
      <c r="H13" s="167">
        <f ca="1">IF(ISERROR($V13),"",OFFSET('Smelter Look-up'!$G$4,$V13-4,0))</f>
        <v>0</v>
      </c>
      <c r="I13" s="168" t="str">
        <f ca="1">IF(ISERROR($V13),"",OFFSET('Smelter Look-up'!$H$4,$V13-4,0))</f>
        <v>Pirapora de Bom Jesus</v>
      </c>
      <c r="J13" s="168" t="str">
        <f ca="1">IF(ISERROR($V13),"",OFFSET('Smelter Look-up'!$I$4,$V13-4,0))</f>
        <v>São Paulo</v>
      </c>
      <c r="K13" s="207"/>
      <c r="L13" s="207"/>
      <c r="M13" s="207"/>
      <c r="N13" s="207"/>
      <c r="O13" s="207"/>
      <c r="P13" s="169"/>
      <c r="Q13" s="208"/>
      <c r="R13" s="166" t="str">
        <f ca="1">IF(ISERROR($V13),"",OFFSET('Smelter Look-up'!$C$4,$V13-4,0)&amp;"")</f>
        <v>Mineracao Taboca S.A.</v>
      </c>
      <c r="S13" s="165" t="str">
        <f t="shared" ca="1" si="2"/>
        <v>BR</v>
      </c>
      <c r="T13" s="165" t="str">
        <f ca="1">IF(B13="","",IF(ISERROR(MATCH($J13,SorP!$B$1:$B$6261,0)),"",INDIRECT("'SorP'!$A$"&amp;MATCH($S13&amp;$J13,SorP!C:C,0))))</f>
        <v>BR-SP</v>
      </c>
      <c r="U13" s="185"/>
      <c r="V13" s="209">
        <f ca="1">IF(C13="",NA(),IF(OR(C13="Smelter not listed",C13="Smelter not yet identified"),MATCH($B13&amp;$D13,'Smelter Look-up'!$J:$J,0),MATCH($B13&amp;$C13,'Smelter Look-up'!$J:$J,0)))</f>
        <v>498</v>
      </c>
      <c r="X13" s="210">
        <f t="shared" ca="1" si="3"/>
        <v>0</v>
      </c>
      <c r="AB13" s="211" t="str">
        <f t="shared" ca="1" si="4"/>
        <v>TinMineracao Taboca S.A.</v>
      </c>
    </row>
    <row r="14" spans="1:34" s="210" customFormat="1" ht="20.2" customHeight="1">
      <c r="A14" s="245" t="s">
        <v>744</v>
      </c>
      <c r="B14" s="166" t="str">
        <f ca="1">IF(LEN(A14)=0,"",INDEX('Smelter Look-up'!$A:$A,MATCH($A14,'Smelter Look-up'!$E:$E,0)))</f>
        <v>Tin</v>
      </c>
      <c r="C14" s="170" t="str">
        <f ca="1">IF(LEN(A14)=0,"",INDEX('Smelter Look-up'!$C:$C,MATCH($A14,'Smelter Look-up'!$E:$E,0)))</f>
        <v>Minsur</v>
      </c>
      <c r="D14" s="213"/>
      <c r="E14" s="166" t="str">
        <f ca="1">IF(ISERROR($V14),"",OFFSET('Smelter Look-up'!$D$4,$V14-4,0)&amp;"")</f>
        <v>PERU</v>
      </c>
      <c r="F14" s="166" t="str">
        <f ca="1">IF(ISERROR($V14),"",OFFSET('Smelter Look-up'!$E$4,$V14-4,0))</f>
        <v>CID001182</v>
      </c>
      <c r="G14" s="166" t="str">
        <f ca="1">IF(C14=$X$4,IF(ISERROR($V14),"Enter smelter details","RMI"),IF(ISERROR($V14),"",OFFSET('Smelter Look-up'!$F$4,$V14-4,0)))</f>
        <v>RMI</v>
      </c>
      <c r="H14" s="167">
        <f ca="1">IF(ISERROR($V14),"",OFFSET('Smelter Look-up'!$G$4,$V14-4,0))</f>
        <v>0</v>
      </c>
      <c r="I14" s="168" t="str">
        <f ca="1">IF(ISERROR($V14),"",OFFSET('Smelter Look-up'!$H$4,$V14-4,0))</f>
        <v>Paracas</v>
      </c>
      <c r="J14" s="168" t="str">
        <f ca="1">IF(ISERROR($V14),"",OFFSET('Smelter Look-up'!$I$4,$V14-4,0))</f>
        <v>Ika</v>
      </c>
      <c r="K14" s="207"/>
      <c r="L14" s="207"/>
      <c r="M14" s="207"/>
      <c r="N14" s="207"/>
      <c r="O14" s="207"/>
      <c r="P14" s="169"/>
      <c r="Q14" s="208"/>
      <c r="R14" s="166" t="str">
        <f ca="1">IF(ISERROR($V14),"",OFFSET('Smelter Look-up'!$C$4,$V14-4,0)&amp;"")</f>
        <v>Minsur</v>
      </c>
      <c r="S14" s="165" t="str">
        <f t="shared" ca="1" si="2"/>
        <v>PE</v>
      </c>
      <c r="T14" s="165" t="str">
        <f ca="1">IF(B14="","",IF(ISERROR(MATCH($J14,SorP!$B$1:$B$6261,0)),"",INDIRECT("'SorP'!$A$"&amp;MATCH($S14&amp;$J14,SorP!C:C,0))))</f>
        <v>PE-ICA</v>
      </c>
      <c r="U14" s="185"/>
      <c r="V14" s="209">
        <f ca="1">IF(C14="",NA(),IF(OR(C14="Smelter not listed",C14="Smelter not yet identified"),MATCH($B14&amp;$D14,'Smelter Look-up'!$J:$J,0),MATCH($B14&amp;$C14,'Smelter Look-up'!$J:$J,0)))</f>
        <v>503</v>
      </c>
      <c r="X14" s="210">
        <f t="shared" ca="1" si="3"/>
        <v>0</v>
      </c>
      <c r="AB14" s="211" t="str">
        <f t="shared" ca="1" si="4"/>
        <v>TinMinsur</v>
      </c>
    </row>
    <row r="15" spans="1:34" s="210" customFormat="1" ht="20.2" customHeight="1">
      <c r="A15" s="245" t="s">
        <v>748</v>
      </c>
      <c r="B15" s="166" t="str">
        <f ca="1">IF(LEN(A15)=0,"",INDEX('Smelter Look-up'!$A:$A,MATCH($A15,'Smelter Look-up'!$E:$E,0)))</f>
        <v>Tin</v>
      </c>
      <c r="C15" s="170" t="str">
        <f ca="1">IF(LEN(A15)=0,"",INDEX('Smelter Look-up'!$C:$C,MATCH($A15,'Smelter Look-up'!$E:$E,0)))</f>
        <v>Operaciones Metalurgicas S.A.</v>
      </c>
      <c r="D15" s="213"/>
      <c r="E15" s="166" t="str">
        <f ca="1">IF(ISERROR($V15),"",OFFSET('Smelter Look-up'!$D$4,$V15-4,0)&amp;"")</f>
        <v>BOLIVIA (PLURINATIONAL STATE OF)</v>
      </c>
      <c r="F15" s="166" t="str">
        <f ca="1">IF(ISERROR($V15),"",OFFSET('Smelter Look-up'!$E$4,$V15-4,0))</f>
        <v>CID001337</v>
      </c>
      <c r="G15" s="166" t="str">
        <f ca="1">IF(C15=$X$4,IF(ISERROR($V15),"Enter smelter details","RMI"),IF(ISERROR($V15),"",OFFSET('Smelter Look-up'!$F$4,$V15-4,0)))</f>
        <v>RMI</v>
      </c>
      <c r="H15" s="167">
        <f ca="1">IF(ISERROR($V15),"",OFFSET('Smelter Look-up'!$G$4,$V15-4,0))</f>
        <v>0</v>
      </c>
      <c r="I15" s="168" t="str">
        <f ca="1">IF(ISERROR($V15),"",OFFSET('Smelter Look-up'!$H$4,$V15-4,0))</f>
        <v>Oruro</v>
      </c>
      <c r="J15" s="168" t="str">
        <f ca="1">IF(ISERROR($V15),"",OFFSET('Smelter Look-up'!$I$4,$V15-4,0))</f>
        <v>Oruro</v>
      </c>
      <c r="K15" s="207"/>
      <c r="L15" s="207"/>
      <c r="M15" s="207"/>
      <c r="N15" s="207"/>
      <c r="O15" s="207"/>
      <c r="P15" s="169"/>
      <c r="Q15" s="208"/>
      <c r="R15" s="166" t="str">
        <f ca="1">IF(ISERROR($V15),"",OFFSET('Smelter Look-up'!$C$4,$V15-4,0)&amp;"")</f>
        <v>Operaciones Metalurgicas S.A.</v>
      </c>
      <c r="S15" s="165" t="str">
        <f t="shared" ca="1" si="2"/>
        <v>Unknown</v>
      </c>
      <c r="T15" s="165" t="e">
        <f ca="1">IF(B15="","",IF(ISERROR(MATCH($J15,SorP!$B$1:$B$6261,0)),"",INDIRECT("'SorP'!$A$"&amp;MATCH($S15&amp;$J15,SorP!C:C,0))))</f>
        <v>#N/A</v>
      </c>
      <c r="U15" s="185"/>
      <c r="V15" s="209">
        <f ca="1">IF(C15="",NA(),IF(OR(C15="Smelter not listed",C15="Smelter not yet identified"),MATCH($B15&amp;$D15,'Smelter Look-up'!$J:$J,0),MATCH($B15&amp;$C15,'Smelter Look-up'!$J:$J,0)))</f>
        <v>514</v>
      </c>
      <c r="X15" s="210">
        <f t="shared" ca="1" si="3"/>
        <v>0</v>
      </c>
      <c r="AB15" s="211" t="str">
        <f t="shared" ca="1" si="4"/>
        <v>TinOperaciones Metalurgicas S.A.</v>
      </c>
    </row>
    <row r="16" spans="1:34" s="210" customFormat="1" ht="20.2"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2"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2"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2.7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BAD94EF-5143-4813-80FD-4D9CF546242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7" activePane="bottomRight" state="frozen"/>
      <selection activeCell="A4" sqref="A4"/>
      <selection pane="topRight" activeCell="A4" sqref="A4"/>
      <selection pane="bottomLeft" activeCell="A4" sqref="A4"/>
      <selection pane="bottomRight" activeCell="A4" sqref="A4"/>
    </sheetView>
  </sheetViews>
  <sheetFormatPr defaultColWidth="8.8203125" defaultRowHeight="12.4"/>
  <cols>
    <col min="1" max="1" width="45.17578125" style="18" customWidth="1"/>
    <col min="2" max="2" width="42.8203125" style="19" customWidth="1"/>
    <col min="3" max="3" width="51.5859375" style="18" customWidth="1"/>
    <col min="4" max="4" width="29.17578125" style="19" customWidth="1"/>
    <col min="5" max="5" width="9" style="18" customWidth="1"/>
    <col min="6" max="6" width="13.5859375" style="18" hidden="1" customWidth="1"/>
    <col min="7" max="7" width="13.3515625" style="18" hidden="1" customWidth="1"/>
    <col min="8" max="9" width="9" style="18" hidden="1" customWidth="1"/>
    <col min="10" max="10" width="48.8203125" style="18" hidden="1" customWidth="1"/>
    <col min="11" max="11" width="9" style="18" hidden="1" customWidth="1"/>
    <col min="12" max="15" width="8.8203125" style="18" hidden="1" customWidth="1"/>
    <col min="16" max="18" width="8.8203125" style="18" customWidth="1"/>
    <col min="19" max="16384" width="8.8203125" style="18"/>
  </cols>
  <sheetData>
    <row r="1" spans="1:10" ht="29.25">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4.65">
      <c r="A2" s="63" t="s">
        <v>858</v>
      </c>
      <c r="B2" s="64" t="str">
        <f>IF(F65=1,"Click here to return to Smelter List","")</f>
        <v/>
      </c>
      <c r="C2" s="118" t="str">
        <f>IF(F65=1,"Click here to return to Product List","")</f>
        <v/>
      </c>
      <c r="D2" s="144" t="str">
        <f ca="1">IF(H70=0,"0",H70)</f>
        <v>0</v>
      </c>
    </row>
    <row r="3" spans="1:10" ht="14.6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8.25">
      <c r="A4" s="87" t="str">
        <f ca="1">Declaration!B8</f>
        <v>Company Name (*):</v>
      </c>
      <c r="B4" s="86" t="str">
        <f>Declaration!D8</f>
        <v>JOHANSON DIELECTRICS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8.25">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8.25">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38.25">
      <c r="A7" s="87" t="str">
        <f ca="1">Declaration!B15</f>
        <v>Contact Name (*):</v>
      </c>
      <c r="B7" s="86" t="str">
        <f>Declaration!D15</f>
        <v>Miriam Guerrero</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8.25">
      <c r="A8" s="87" t="str">
        <f ca="1">Declaration!B16</f>
        <v>Email – Contact (*):</v>
      </c>
      <c r="B8" s="86" t="str">
        <f>Declaration!D16</f>
        <v>mguerrero@johansontechnology.com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8.25">
      <c r="A9" s="87" t="str">
        <f ca="1">Declaration!B17</f>
        <v>Phone – Contact (*):</v>
      </c>
      <c r="B9" s="256" t="str">
        <f>Declaration!D17</f>
        <v>1-805-389-1166</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8.25">
      <c r="A10" s="87" t="str">
        <f ca="1">Declaration!B18</f>
        <v>Authorizer (*):</v>
      </c>
      <c r="B10" s="86" t="str">
        <f>Declaration!D18</f>
        <v>Sheldon Peters</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8.25">
      <c r="A11" s="87" t="str">
        <f ca="1">Declaration!B20</f>
        <v>Email - Authorizer (*):</v>
      </c>
      <c r="B11" s="86" t="str">
        <f>Declaration!D20</f>
        <v>speterd@johansondielectrics.com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8.25">
      <c r="A12" s="87" t="str">
        <f ca="1">Declaration!B22</f>
        <v>Effective Date (*):</v>
      </c>
      <c r="B12" s="88">
        <f>Declaration!D22</f>
        <v>46141</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1.9">
      <c r="A13" s="86" t="str">
        <f ca="1">Declaration!B25</f>
        <v>1) Is any 3TG intentionally added or used in the product(s) or in the production process? (*)</v>
      </c>
      <c r="B13" s="89"/>
      <c r="C13" s="89"/>
      <c r="D13" s="93"/>
      <c r="E13" s="19" t="s">
        <v>773</v>
      </c>
      <c r="F13" s="90"/>
      <c r="H13" s="18">
        <f t="shared" si="3"/>
        <v>0</v>
      </c>
    </row>
    <row r="14" spans="1:10" ht="25.9">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8.25">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8.25">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8.25">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49.5">
      <c r="A18" s="86" t="str">
        <f ca="1">Declaration!B31</f>
        <v>2) Does any 3TG remain in the product(s)? (*)</v>
      </c>
      <c r="B18" s="89"/>
      <c r="C18" s="89"/>
      <c r="D18" s="93"/>
      <c r="E18" s="19" t="s">
        <v>771</v>
      </c>
      <c r="F18" s="90"/>
      <c r="J18" s="143"/>
    </row>
    <row r="19" spans="1:10" ht="38.25">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8.25">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8.25">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8.25">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8.25">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8.25">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8.25">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8.25">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6" t="str">
        <f ca="1">Declaration!B43</f>
        <v>4) Do any of the smelters in your supply chain source the 3TG from conflict-affected and high-risk areas? (*)</v>
      </c>
      <c r="B28" s="86"/>
      <c r="C28" s="86"/>
      <c r="D28" s="94"/>
      <c r="E28" s="19"/>
      <c r="F28" s="19"/>
      <c r="G28" s="19"/>
      <c r="I28" s="142"/>
    </row>
    <row r="29" spans="1:10" ht="41.2"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7.1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8.25">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8.25">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8.25">
      <c r="A36" s="87" t="str">
        <f ca="1">Declaration!B52</f>
        <v>Gold  (*)</v>
      </c>
      <c r="B36" s="86" t="str">
        <f>IF(AND($B$16="Yes",$B$21="Yes"),Declaration!D52,0)</f>
        <v>Yes</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8.25">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7.15">
      <c r="A38" s="86" t="str">
        <f ca="1">Declaration!B55</f>
        <v>6) What percentage of relevant suppliers have provided a response to your supply chain survey?  (*)</v>
      </c>
      <c r="B38" s="89"/>
      <c r="C38" s="89"/>
      <c r="D38" s="93"/>
      <c r="E38" s="19" t="s">
        <v>770</v>
      </c>
      <c r="F38" s="90"/>
    </row>
    <row r="39" spans="1:10" ht="25.9">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5.9">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5.9">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5.9">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49.5">
      <c r="A43" s="86" t="str">
        <f ca="1">Declaration!B61</f>
        <v>7) Have you identified all of the smelters supplying the 3TG to your supply chain?  (*)</v>
      </c>
      <c r="B43" s="89"/>
      <c r="C43" s="89"/>
      <c r="D43" s="93"/>
      <c r="E43" s="19" t="s">
        <v>771</v>
      </c>
      <c r="F43" s="90"/>
    </row>
    <row r="44" spans="1:10" ht="50.6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0.6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0.6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0.6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1.9">
      <c r="A48" s="86" t="str">
        <f ca="1">Declaration!B67</f>
        <v>8) Has all applicable smelter information received by your company been reported in this declaration?  (*)</v>
      </c>
      <c r="B48" s="89"/>
      <c r="C48" s="89"/>
      <c r="D48" s="93"/>
      <c r="E48" s="19" t="s">
        <v>772</v>
      </c>
      <c r="F48" s="90"/>
    </row>
    <row r="49" spans="1:10" ht="38.25">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8.25">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8.25">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8.25">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4.75">
      <c r="A53" s="86" t="str">
        <f ca="1">Declaration!B74</f>
        <v>Question</v>
      </c>
      <c r="B53" s="89"/>
      <c r="C53" s="89"/>
      <c r="D53" s="93"/>
      <c r="E53" s="19" t="s">
        <v>426</v>
      </c>
      <c r="F53" s="90"/>
      <c r="G53" s="90"/>
      <c r="H53" s="90"/>
    </row>
    <row r="54" spans="1:10" ht="38.25">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https://www.johansondielectrics.com/docs/4828/conflict-minerals-statement-jdi_hVl8JLK.pdf</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49.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8.25">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8.25">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25" hidden="1">
      <c r="A61" s="86"/>
      <c r="B61" s="86"/>
      <c r="C61" s="86"/>
      <c r="D61" s="92"/>
      <c r="E61" s="19"/>
      <c r="F61" s="91"/>
      <c r="G61" s="67"/>
      <c r="H61" s="68"/>
      <c r="I61" s="142"/>
    </row>
    <row r="62" spans="1:10" ht="38.25">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8.25">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8.25">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8.25">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8.25">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8.25">
      <c r="A67" s="86" t="s">
        <v>1762</v>
      </c>
      <c r="B67" s="86"/>
      <c r="C67" s="86" t="str">
        <f t="shared" ca="1" si="13"/>
        <v>Complete</v>
      </c>
      <c r="D67" s="92" t="str">
        <f ca="1">IF(H67=0,"","Click here to provide smelter information")</f>
        <v/>
      </c>
      <c r="E67" s="19" t="s">
        <v>770</v>
      </c>
      <c r="F67" s="91">
        <f>F26</f>
        <v>1</v>
      </c>
      <c r="G67" s="67">
        <f ca="1">IF(AND(COUNTIF(SmelterIdetifiedForMetal,"Gold")&gt;0,COUNTIF('Smelter List'!AB$5:AB$2504,"Gold?*")&gt;0),0,1)</f>
        <v>0</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8.25">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4.7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2.7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203125" defaultRowHeight="12.4"/>
  <cols>
    <col min="1" max="1" width="3.17578125" style="259" customWidth="1"/>
    <col min="2" max="2" width="39.8203125" style="262" customWidth="1"/>
    <col min="3" max="5" width="39.8203125" style="259" customWidth="1"/>
    <col min="6" max="6" width="58.8203125" style="259" customWidth="1"/>
    <col min="7" max="7" width="1.5859375" style="259" customWidth="1"/>
    <col min="8" max="8" width="9" style="259" customWidth="1"/>
    <col min="9" max="16384" width="8.8203125" style="260"/>
  </cols>
  <sheetData>
    <row r="1" spans="1:8" s="20" customFormat="1" ht="35.200000000000003"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ht="12.75">
      <c r="A2" s="22"/>
      <c r="B2" s="117"/>
      <c r="C2" s="117"/>
      <c r="D2" s="117"/>
      <c r="E2" s="117"/>
      <c r="F2"/>
      <c r="G2" s="23"/>
      <c r="H2"/>
    </row>
    <row r="3" spans="1:8" s="20" customFormat="1" ht="12.75">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5" customHeight="1" thickBot="1">
      <c r="A2006" s="127"/>
      <c r="B2006" s="397" t="str">
        <f ca="1">OFFSET(L!$C$1,MATCH("General"&amp;"Cpy",L!$A:$A,0)-1,SL,,)</f>
        <v>© 2026 Responsible Minerals Initiative. All rights reserved.</v>
      </c>
      <c r="C2006" s="397"/>
      <c r="D2006" s="397"/>
      <c r="E2006" s="397"/>
      <c r="F2006" s="397"/>
      <c r="G2006" s="261"/>
    </row>
    <row r="2007" spans="1:7" ht="12.7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203125" defaultRowHeight="12.4"/>
  <cols>
    <col min="1" max="1" width="9.17578125" style="173" bestFit="1" customWidth="1"/>
    <col min="2" max="2" width="42.8203125" style="173" customWidth="1"/>
    <col min="3" max="3" width="63.8203125" style="173" customWidth="1"/>
    <col min="4" max="4" width="25.5859375" style="173" customWidth="1"/>
    <col min="5" max="5" width="12.5859375" style="173" customWidth="1"/>
    <col min="6" max="6" width="12.5859375" style="174" customWidth="1"/>
    <col min="7" max="7" width="15.3515625" style="173" customWidth="1"/>
    <col min="8" max="8" width="23.8203125" style="173" customWidth="1"/>
    <col min="9" max="9" width="28.17578125" style="173" customWidth="1"/>
    <col min="10" max="10" width="48.234375" style="173" hidden="1" customWidth="1"/>
    <col min="11" max="11" width="49.76171875" style="173" hidden="1" customWidth="1"/>
    <col min="12" max="16384" width="8.8203125" style="173"/>
  </cols>
  <sheetData>
    <row r="1" spans="1:11" ht="168.7"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49.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203125" defaultRowHeight="13.5"/>
  <cols>
    <col min="1" max="1" width="14.5859375" style="148" customWidth="1"/>
    <col min="2" max="2" width="14" style="148" customWidth="1"/>
    <col min="3" max="3" width="6.17578125" style="148" customWidth="1"/>
    <col min="4" max="4" width="56.234375" style="148" customWidth="1"/>
    <col min="5" max="5" width="53.76171875" style="216" customWidth="1"/>
    <col min="6" max="6" width="54.17578125" style="148" customWidth="1"/>
    <col min="7" max="7" width="68.234375" style="148" customWidth="1"/>
    <col min="8" max="8" width="49.234375" style="148" customWidth="1"/>
    <col min="9" max="9" width="51.5859375" style="148" customWidth="1"/>
    <col min="10" max="10" width="50.234375" style="148" customWidth="1"/>
    <col min="11" max="11" width="51.8203125" customWidth="1"/>
    <col min="12" max="12" width="66.8203125" style="239" customWidth="1"/>
    <col min="13" max="13" width="46.17578125" style="106" customWidth="1"/>
    <col min="14" max="15" width="8.8203125" style="106" customWidth="1"/>
    <col min="16" max="16384" width="8.820312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64.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1.4">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84.7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0.4">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3.1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4">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4">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99.7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199.5">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9">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5.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5.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48.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2.7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2.7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49.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4">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24">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3.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02.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2.7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2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49.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7.1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7.1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5">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7.1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49.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7.1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5">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2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7">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7">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7">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9376B19-E1E0-4ECA-9A24-C3822F625103}"/>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Miriam Guerrero</cp:lastModifiedBy>
  <cp:lastPrinted>2015-04-21T20:47:43Z</cp:lastPrinted>
  <dcterms:created xsi:type="dcterms:W3CDTF">2010-06-21T21:00:23Z</dcterms:created>
  <dcterms:modified xsi:type="dcterms:W3CDTF">2026-04-29T20:52:04Z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y fmtid="{D5CDD505-2E9C-101B-9397-08002B2CF9AE}" pid="5" name="MSIP_Label_63b87756-fee7-4ea4-9fdd-2a624efd4387_Enabled">
    <vt:lpwstr>true</vt:lpwstr>
  </property>
  <property fmtid="{D5CDD505-2E9C-101B-9397-08002B2CF9AE}" pid="6" name="MSIP_Label_63b87756-fee7-4ea4-9fdd-2a624efd4387_SetDate">
    <vt:lpwstr>2026-04-22T21:18:22Z</vt:lpwstr>
  </property>
  <property fmtid="{D5CDD505-2E9C-101B-9397-08002B2CF9AE}" pid="7" name="MSIP_Label_63b87756-fee7-4ea4-9fdd-2a624efd4387_Method">
    <vt:lpwstr>Standard</vt:lpwstr>
  </property>
  <property fmtid="{D5CDD505-2E9C-101B-9397-08002B2CF9AE}" pid="8" name="MSIP_Label_63b87756-fee7-4ea4-9fdd-2a624efd4387_Name">
    <vt:lpwstr>Compliance</vt:lpwstr>
  </property>
  <property fmtid="{D5CDD505-2E9C-101B-9397-08002B2CF9AE}" pid="9" name="MSIP_Label_63b87756-fee7-4ea4-9fdd-2a624efd4387_SiteId">
    <vt:lpwstr>8dc27200-19d8-4db5-90bf-f86073df0220</vt:lpwstr>
  </property>
  <property fmtid="{D5CDD505-2E9C-101B-9397-08002B2CF9AE}" pid="10" name="MSIP_Label_63b87756-fee7-4ea4-9fdd-2a624efd4387_ActionId">
    <vt:lpwstr>12eed600-e384-4a8f-974e-278e20504bc3</vt:lpwstr>
  </property>
  <property fmtid="{D5CDD505-2E9C-101B-9397-08002B2CF9AE}" pid="11" name="MSIP_Label_63b87756-fee7-4ea4-9fdd-2a624efd4387_ContentBits">
    <vt:lpwstr>0</vt:lpwstr>
  </property>
  <property fmtid="{D5CDD505-2E9C-101B-9397-08002B2CF9AE}" pid="12" name="MSIP_Label_63b87756-fee7-4ea4-9fdd-2a624efd4387_Tag">
    <vt:lpwstr>10, 3, 0, 1</vt:lpwstr>
  </property>
</Properties>
</file>