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xponentialgroup-my.sharepoint.com/personal/virginia_abellera_rfmw_com/Documents/Desktop/6.6 CMRT - 4-30-26/"/>
    </mc:Choice>
  </mc:AlternateContent>
  <xr:revisionPtr revIDLastSave="0" documentId="13_ncr:1_{55201448-18D0-4B95-AE66-0B6FF32D912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4905" yWindow="1500" windowWidth="18900" windowHeight="11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5" l="1"/>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F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G9" i="5" s="1"/>
  <c r="V10" i="5"/>
  <c r="E10" i="5" s="1"/>
  <c r="V11" i="5"/>
  <c r="G11" i="5" s="1"/>
  <c r="E11" i="5"/>
  <c r="X11" i="5" s="1"/>
  <c r="V12" i="5"/>
  <c r="R12" i="5" s="1"/>
  <c r="V13" i="5"/>
  <c r="E13" i="5" s="1"/>
  <c r="V14" i="5"/>
  <c r="E14" i="5"/>
  <c r="X14" i="5" s="1"/>
  <c r="V15" i="5"/>
  <c r="E15" i="5" s="1"/>
  <c r="X15" i="5" s="1"/>
  <c r="V16" i="5"/>
  <c r="E16" i="5" s="1"/>
  <c r="X16" i="5" s="1"/>
  <c r="V17" i="5"/>
  <c r="E17" i="5" s="1"/>
  <c r="X17" i="5" s="1"/>
  <c r="V18" i="5"/>
  <c r="E18" i="5" s="1"/>
  <c r="X18" i="5" s="1"/>
  <c r="V19" i="5"/>
  <c r="V20" i="5"/>
  <c r="E20" i="5" s="1"/>
  <c r="V21" i="5"/>
  <c r="H21" i="5" s="1"/>
  <c r="V22" i="5"/>
  <c r="E22" i="5" s="1"/>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0" i="5"/>
  <c r="G14" i="5"/>
  <c r="G15" i="5"/>
  <c r="G16" i="5"/>
  <c r="G17" i="5"/>
  <c r="G19"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c r="B62" i="6"/>
  <c r="G62" i="6"/>
  <c r="B60" i="6"/>
  <c r="G60" i="6" s="1"/>
  <c r="B59" i="6"/>
  <c r="G59" i="6"/>
  <c r="B58" i="6"/>
  <c r="G58" i="6"/>
  <c r="B57" i="6"/>
  <c r="G57" i="6"/>
  <c r="B56" i="6"/>
  <c r="G56" i="6"/>
  <c r="B55" i="6"/>
  <c r="G55" i="6"/>
  <c r="B54" i="6"/>
  <c r="G54" i="6"/>
  <c r="B17" i="6"/>
  <c r="B16" i="6"/>
  <c r="G16" i="6" s="1"/>
  <c r="H16" i="6" s="1"/>
  <c r="B15" i="6"/>
  <c r="F20" i="6" s="1"/>
  <c r="B14" i="6"/>
  <c r="G14" i="6"/>
  <c r="H14" i="6" s="1"/>
  <c r="H13" i="6"/>
  <c r="B12" i="6"/>
  <c r="G12" i="6" s="1"/>
  <c r="H12" i="6" s="1"/>
  <c r="D12" i="6" s="1"/>
  <c r="B11" i="6"/>
  <c r="G11" i="6"/>
  <c r="H11" i="6" s="1"/>
  <c r="D11" i="6" s="1"/>
  <c r="G9" i="6"/>
  <c r="H9" i="6"/>
  <c r="D9" i="6" s="1"/>
  <c r="B8" i="6"/>
  <c r="G8" i="6"/>
  <c r="H8" i="6" s="1"/>
  <c r="D8" i="6" s="1"/>
  <c r="B7" i="6"/>
  <c r="G7" i="6" s="1"/>
  <c r="H7" i="6" s="1"/>
  <c r="D7" i="6" s="1"/>
  <c r="B6" i="6"/>
  <c r="G6" i="6" s="1"/>
  <c r="B5" i="6"/>
  <c r="F6" i="6" s="1"/>
  <c r="B4" i="6"/>
  <c r="G4" i="6" s="1"/>
  <c r="H4" i="6" s="1"/>
  <c r="D4" i="6" s="1"/>
  <c r="S2492" i="5"/>
  <c r="B90" i="4"/>
  <c r="H67" i="4"/>
  <c r="P47" i="4"/>
  <c r="P46" i="4"/>
  <c r="P45" i="4"/>
  <c r="P44" i="4"/>
  <c r="P43" i="4"/>
  <c r="Q43" i="4" s="1"/>
  <c r="P41" i="4"/>
  <c r="P40" i="4"/>
  <c r="P39" i="4"/>
  <c r="B39" i="4" s="1"/>
  <c r="B57" i="4" s="1"/>
  <c r="A40" i="6" s="1"/>
  <c r="P38" i="4"/>
  <c r="P37" i="4"/>
  <c r="Q37" i="4" s="1"/>
  <c r="B31" i="4" s="1"/>
  <c r="A18" i="6" s="1"/>
  <c r="P35" i="4"/>
  <c r="P34" i="4"/>
  <c r="P33" i="4"/>
  <c r="P32" i="4"/>
  <c r="P31" i="4"/>
  <c r="Q31" i="4" s="1"/>
  <c r="P29" i="4"/>
  <c r="B29" i="4" s="1"/>
  <c r="B35" i="4" s="1"/>
  <c r="A22" i="6" s="1"/>
  <c r="P28" i="4"/>
  <c r="P27" i="4"/>
  <c r="P26" i="4"/>
  <c r="D11" i="4"/>
  <c r="A5" i="4"/>
  <c r="Q4" i="5"/>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H19" i="6" s="1"/>
  <c r="D19" i="6" s="1"/>
  <c r="F22" i="6"/>
  <c r="H22" i="6" s="1"/>
  <c r="D22" i="6" s="1"/>
  <c r="B22" i="6"/>
  <c r="F27" i="6"/>
  <c r="F42" i="6" s="1"/>
  <c r="F64" i="6"/>
  <c r="G5" i="6"/>
  <c r="H5" i="6" s="1"/>
  <c r="G17" i="6"/>
  <c r="H17" i="6" s="1"/>
  <c r="B21" i="6"/>
  <c r="B51" i="6" s="1"/>
  <c r="G51"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F36" i="6" s="1"/>
  <c r="B52" i="6"/>
  <c r="G52" i="6"/>
  <c r="B37" i="6"/>
  <c r="G37" i="6" s="1"/>
  <c r="B42" i="6"/>
  <c r="G42" i="6" s="1"/>
  <c r="B39" i="6"/>
  <c r="G39" i="6"/>
  <c r="F24" i="6"/>
  <c r="F49" i="6" s="1"/>
  <c r="H49" i="6" s="1"/>
  <c r="D49" i="6" s="1"/>
  <c r="B44" i="6"/>
  <c r="G44" i="6" s="1"/>
  <c r="G32" i="6"/>
  <c r="B49" i="6"/>
  <c r="G49" i="6"/>
  <c r="B34" i="6"/>
  <c r="G34" i="6" s="1"/>
  <c r="B29" i="6"/>
  <c r="G29" i="6" s="1"/>
  <c r="B24" i="6"/>
  <c r="G24" i="6"/>
  <c r="G19" i="6"/>
  <c r="G22" i="6"/>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B36" i="6"/>
  <c r="G36" i="6" s="1"/>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51" i="6"/>
  <c r="H51" i="6" s="1"/>
  <c r="D51" i="6" s="1"/>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F32" i="6"/>
  <c r="H32" i="6" s="1"/>
  <c r="D32" i="6" s="1"/>
  <c r="F47" i="6"/>
  <c r="H47" i="6" s="1"/>
  <c r="D47" i="6" s="1"/>
  <c r="F37" i="6"/>
  <c r="H37" i="6" s="1"/>
  <c r="D37" i="6" s="1"/>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H24" i="6"/>
  <c r="D24"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T7" i="5" s="1"/>
  <c r="H7" i="5"/>
  <c r="E7" i="5"/>
  <c r="X7" i="5" s="1"/>
  <c r="I7" i="5"/>
  <c r="R8" i="5"/>
  <c r="J8" i="5"/>
  <c r="I8" i="5"/>
  <c r="G8" i="5"/>
  <c r="H8" i="5"/>
  <c r="F8" i="5"/>
  <c r="E8" i="5"/>
  <c r="X8" i="5" s="1"/>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5" i="5" s="1"/>
  <c r="H18" i="5"/>
  <c r="F18" i="5"/>
  <c r="J18" i="5"/>
  <c r="R20" i="5"/>
  <c r="H20" i="5"/>
  <c r="I20"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F13" i="5"/>
  <c r="H13" i="5"/>
  <c r="R13" i="5"/>
  <c r="J13" i="5"/>
  <c r="I13" i="5"/>
  <c r="F14" i="5"/>
  <c r="H14" i="5"/>
  <c r="I14" i="5"/>
  <c r="R14" i="5"/>
  <c r="J14" i="5"/>
  <c r="I15" i="5"/>
  <c r="J15" i="5"/>
  <c r="H15" i="5"/>
  <c r="R15" i="5"/>
  <c r="F15" i="5"/>
  <c r="R16" i="5"/>
  <c r="I16" i="5"/>
  <c r="H16" i="5"/>
  <c r="F16" i="5"/>
  <c r="J16" i="5"/>
  <c r="I17" i="5"/>
  <c r="J17" i="5"/>
  <c r="T17" i="5" s="1"/>
  <c r="F17" i="5"/>
  <c r="H17" i="5"/>
  <c r="R17" i="5"/>
  <c r="R18" i="5"/>
  <c r="I18" i="5"/>
  <c r="J19" i="5"/>
  <c r="R19" i="5"/>
  <c r="H19" i="5"/>
  <c r="F19"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J5" i="5"/>
  <c r="F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E21" i="5" l="1"/>
  <c r="F21" i="5"/>
  <c r="R21" i="5"/>
  <c r="G21" i="5"/>
  <c r="I21" i="5"/>
  <c r="J21" i="5"/>
  <c r="X20" i="5"/>
  <c r="J20" i="5"/>
  <c r="F20" i="5"/>
  <c r="G20" i="5"/>
  <c r="G18" i="5"/>
  <c r="B63" i="4"/>
  <c r="A45" i="6" s="1"/>
  <c r="G13" i="5"/>
  <c r="X13" i="5"/>
  <c r="E12" i="5"/>
  <c r="H12" i="5"/>
  <c r="F12" i="5"/>
  <c r="G12" i="5"/>
  <c r="I12" i="5"/>
  <c r="J12" i="5"/>
  <c r="X10" i="5"/>
  <c r="E9" i="5"/>
  <c r="X9" i="5" s="1"/>
  <c r="G6" i="5"/>
  <c r="R6" i="5"/>
  <c r="E6" i="5"/>
  <c r="X6" i="5" s="1"/>
  <c r="J6" i="5"/>
  <c r="H6" i="5"/>
  <c r="I6" i="5"/>
  <c r="G67" i="6"/>
  <c r="G5" i="5"/>
  <c r="H5" i="5"/>
  <c r="I5" i="5"/>
  <c r="G66" i="6"/>
  <c r="E5" i="5"/>
  <c r="X5" i="5" s="1"/>
  <c r="G68" i="6"/>
  <c r="G65" i="6"/>
  <c r="D43" i="4"/>
  <c r="F41" i="6"/>
  <c r="H41" i="6" s="1"/>
  <c r="F46" i="6"/>
  <c r="H46" i="6" s="1"/>
  <c r="D46" i="6" s="1"/>
  <c r="H31" i="6"/>
  <c r="D31" i="6" s="1"/>
  <c r="H36" i="6"/>
  <c r="D36" i="6" s="1"/>
  <c r="D74" i="4"/>
  <c r="H21" i="6"/>
  <c r="D21" i="6" s="1"/>
  <c r="D17" i="6"/>
  <c r="K68" i="6"/>
  <c r="H42" i="6"/>
  <c r="D42" i="6" s="1"/>
  <c r="C22" i="6"/>
  <c r="C32" i="6"/>
  <c r="F52" i="6"/>
  <c r="H52" i="6" s="1"/>
  <c r="D52" i="6" s="1"/>
  <c r="F68" i="6"/>
  <c r="C37" i="6"/>
  <c r="H27" i="6"/>
  <c r="D27" i="6" s="1"/>
  <c r="C47" i="6"/>
  <c r="C17" i="6"/>
  <c r="C42" i="6"/>
  <c r="K67" i="6"/>
  <c r="D16" i="6"/>
  <c r="C51" i="6"/>
  <c r="H26" i="6"/>
  <c r="D26" i="6" s="1"/>
  <c r="F67" i="6"/>
  <c r="C26" i="6"/>
  <c r="C16" i="6"/>
  <c r="C21" i="6"/>
  <c r="B20" i="6"/>
  <c r="G15" i="6"/>
  <c r="H15" i="6" s="1"/>
  <c r="C15" i="6" s="1"/>
  <c r="B79" i="4"/>
  <c r="A57" i="6" s="1"/>
  <c r="B61" i="4"/>
  <c r="A43" i="6" s="1"/>
  <c r="D14" i="6"/>
  <c r="K65" i="6"/>
  <c r="B77" i="4"/>
  <c r="A55" i="6" s="1"/>
  <c r="B67" i="4"/>
  <c r="A48" i="6" s="1"/>
  <c r="F65" i="6"/>
  <c r="F39" i="6"/>
  <c r="H39" i="6" s="1"/>
  <c r="D39" i="6" s="1"/>
  <c r="B85" i="4"/>
  <c r="A60" i="6" s="1"/>
  <c r="F34" i="6"/>
  <c r="H34" i="6" s="1"/>
  <c r="D34" i="6" s="1"/>
  <c r="C44" i="6"/>
  <c r="B49" i="4"/>
  <c r="A33" i="6" s="1"/>
  <c r="B81" i="4"/>
  <c r="A58" i="6" s="1"/>
  <c r="C14" i="6"/>
  <c r="B83" i="4"/>
  <c r="A59" i="6" s="1"/>
  <c r="B55" i="4"/>
  <c r="A38" i="6" s="1"/>
  <c r="F44" i="6"/>
  <c r="H44" i="6" s="1"/>
  <c r="D44" i="6" s="1"/>
  <c r="C29" i="6"/>
  <c r="C24" i="6"/>
  <c r="B37" i="4"/>
  <c r="A23" i="6" s="1"/>
  <c r="C19" i="6"/>
  <c r="B89" i="4"/>
  <c r="A63" i="6" s="1"/>
  <c r="B43" i="4"/>
  <c r="A28" i="6" s="1"/>
  <c r="F29" i="6"/>
  <c r="H29" i="6" s="1"/>
  <c r="D29" i="6" s="1"/>
  <c r="C49" i="6"/>
  <c r="B75" i="4"/>
  <c r="A54" i="6" s="1"/>
  <c r="B87" i="4"/>
  <c r="A62" i="6" s="1"/>
  <c r="C12" i="6"/>
  <c r="C11" i="6"/>
  <c r="D37" i="4"/>
  <c r="D61" i="4"/>
  <c r="D67" i="4"/>
  <c r="D49" i="4"/>
  <c r="D55" i="4"/>
  <c r="B64" i="4"/>
  <c r="A46" i="6" s="1"/>
  <c r="B58" i="4"/>
  <c r="A41" i="6" s="1"/>
  <c r="B52" i="4"/>
  <c r="A36" i="6" s="1"/>
  <c r="C9" i="6"/>
  <c r="B70" i="4"/>
  <c r="A51" i="6" s="1"/>
  <c r="C10" i="6"/>
  <c r="B32" i="4"/>
  <c r="A19" i="6" s="1"/>
  <c r="B62" i="4"/>
  <c r="A44" i="6" s="1"/>
  <c r="C8" i="6"/>
  <c r="A17" i="6"/>
  <c r="C7" i="6"/>
  <c r="A16" i="6"/>
  <c r="B33" i="4"/>
  <c r="A20" i="6" s="1"/>
  <c r="B51" i="4"/>
  <c r="A35" i="6" s="1"/>
  <c r="B69" i="4"/>
  <c r="A50" i="6" s="1"/>
  <c r="A25" i="6"/>
  <c r="H6" i="6"/>
  <c r="D6" i="6" s="1"/>
  <c r="G74" i="4"/>
  <c r="G67" i="4"/>
  <c r="B65" i="4"/>
  <c r="A47" i="6" s="1"/>
  <c r="C6" i="6"/>
  <c r="D5" i="6"/>
  <c r="C5" i="6"/>
  <c r="B59" i="4"/>
  <c r="A42" i="6" s="1"/>
  <c r="G55" i="4"/>
  <c r="B71" i="4"/>
  <c r="A52" i="6" s="1"/>
  <c r="C4" i="6"/>
  <c r="G37" i="4"/>
  <c r="B53" i="4"/>
  <c r="A37" i="6" s="1"/>
  <c r="G43" i="4"/>
  <c r="G49" i="4"/>
  <c r="G61" i="4"/>
  <c r="G64" i="6"/>
  <c r="B68" i="4"/>
  <c r="A49" i="6" s="1"/>
  <c r="A24" i="6"/>
  <c r="B56" i="4"/>
  <c r="A39" i="6" s="1"/>
  <c r="G69" i="6" a="1"/>
  <c r="G69" i="6" s="1"/>
  <c r="H69" i="6" s="1"/>
  <c r="S15" i="5"/>
  <c r="S13" i="5"/>
  <c r="S9" i="5"/>
  <c r="S8" i="5"/>
  <c r="S14" i="5"/>
  <c r="S10" i="5"/>
  <c r="S11" i="5"/>
  <c r="S22" i="5"/>
  <c r="S20" i="5"/>
  <c r="S19" i="5"/>
  <c r="S18" i="5"/>
  <c r="S7" i="5"/>
  <c r="S16" i="5"/>
  <c r="S17" i="5"/>
  <c r="C46" i="6" l="1"/>
  <c r="C31" i="6"/>
  <c r="X21" i="5"/>
  <c r="X12" i="5"/>
  <c r="H67" i="6"/>
  <c r="D67" i="6" s="1"/>
  <c r="H68" i="6"/>
  <c r="D68" i="6" s="1"/>
  <c r="D41" i="6"/>
  <c r="C41" i="6"/>
  <c r="C36" i="6"/>
  <c r="C52" i="6"/>
  <c r="C27" i="6"/>
  <c r="D15" i="6"/>
  <c r="G20" i="6"/>
  <c r="H20" i="6" s="1"/>
  <c r="K66" i="6" s="1"/>
  <c r="B45" i="6"/>
  <c r="G45" i="6" s="1"/>
  <c r="B40" i="6"/>
  <c r="G40" i="6" s="1"/>
  <c r="B50" i="6"/>
  <c r="G50" i="6" s="1"/>
  <c r="B30" i="6"/>
  <c r="G30" i="6" s="1"/>
  <c r="B25" i="6"/>
  <c r="G25" i="6" s="1"/>
  <c r="B35" i="6"/>
  <c r="G35" i="6" s="1"/>
  <c r="F25" i="6"/>
  <c r="C34" i="6"/>
  <c r="C2" i="6"/>
  <c r="B2" i="6"/>
  <c r="H65" i="6"/>
  <c r="C39" i="6"/>
  <c r="H64" i="6"/>
  <c r="B64" i="6"/>
  <c r="T10" i="5"/>
  <c r="T22" i="5"/>
  <c r="S21" i="5"/>
  <c r="T8" i="5"/>
  <c r="T20" i="5"/>
  <c r="T19" i="5"/>
  <c r="T18" i="5"/>
  <c r="T16" i="5"/>
  <c r="T15" i="5"/>
  <c r="T14" i="5"/>
  <c r="T13" i="5"/>
  <c r="T9" i="5"/>
  <c r="S12" i="5"/>
  <c r="S6" i="5"/>
  <c r="S5" i="5"/>
  <c r="T11" i="5"/>
  <c r="C67" i="6" l="1"/>
  <c r="C68" i="6"/>
  <c r="F50" i="6"/>
  <c r="H50" i="6" s="1"/>
  <c r="F30" i="6"/>
  <c r="H30" i="6" s="1"/>
  <c r="H25" i="6"/>
  <c r="F40" i="6"/>
  <c r="H40" i="6" s="1"/>
  <c r="F35" i="6"/>
  <c r="H35" i="6" s="1"/>
  <c r="F45" i="6"/>
  <c r="H45" i="6" s="1"/>
  <c r="F66" i="6"/>
  <c r="H66" i="6" s="1"/>
  <c r="F54" i="6"/>
  <c r="D20" i="6"/>
  <c r="C20" i="6"/>
  <c r="D65" i="6"/>
  <c r="C65" i="6"/>
  <c r="C64" i="6"/>
  <c r="D64" i="6"/>
  <c r="T21" i="5"/>
  <c r="T6" i="5"/>
  <c r="T5" i="5"/>
  <c r="T12" i="5"/>
  <c r="D30" i="6" l="1"/>
  <c r="C30" i="6"/>
  <c r="D25" i="6"/>
  <c r="C25" i="6"/>
  <c r="D50" i="6"/>
  <c r="C50" i="6"/>
  <c r="F57" i="6"/>
  <c r="H57" i="6" s="1"/>
  <c r="F55" i="6"/>
  <c r="F58" i="6"/>
  <c r="H58" i="6" s="1"/>
  <c r="H54" i="6"/>
  <c r="F62" i="6"/>
  <c r="H62" i="6" s="1"/>
  <c r="F60" i="6"/>
  <c r="H60" i="6" s="1"/>
  <c r="F63" i="6"/>
  <c r="H63" i="6" s="1"/>
  <c r="F59" i="6"/>
  <c r="H59" i="6" s="1"/>
  <c r="D66" i="6"/>
  <c r="C66" i="6"/>
  <c r="D45" i="6"/>
  <c r="C45" i="6"/>
  <c r="D35" i="6"/>
  <c r="C35" i="6"/>
  <c r="D40" i="6"/>
  <c r="C40" i="6"/>
  <c r="D57" i="6" l="1"/>
  <c r="C57" i="6"/>
  <c r="D59" i="6"/>
  <c r="C59" i="6"/>
  <c r="D63" i="6"/>
  <c r="C63" i="6"/>
  <c r="D60" i="6"/>
  <c r="C60" i="6"/>
  <c r="C62" i="6"/>
  <c r="D62" i="6"/>
  <c r="D54" i="6"/>
  <c r="C54" i="6"/>
  <c r="D58" i="6"/>
  <c r="C58" i="6"/>
  <c r="H55" i="6"/>
  <c r="F56" i="6"/>
  <c r="H56" i="6" s="1"/>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<sst xmlns="http://schemas.openxmlformats.org/spreadsheetml/2006/main" count="22579" uniqueCount="15892">
  <si>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</si>
  <si>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</si>
  <si>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</si>
  <si>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</si>
  <si>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</si>
  <si>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</si>
  <si>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</si>
  <si>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</si>
  <si>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</si>
  <si>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</si>
  <si>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</si>
  <si>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</si>
  <si>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</si>
  <si>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</si>
  <si>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</si>
  <si>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</si>
  <si>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</si>
  <si>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</si>
  <si>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</si>
  <si>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</si>
  <si>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</si>
  <si>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</si>
  <si>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</si>
  <si>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</si>
  <si>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</si>
  <si>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</si>
  <si>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</si>
  <si>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</si>
  <si>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</si>
  <si>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</si>
  <si>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</si>
  <si>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</si>
  <si>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</si>
  <si>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</si>
  <si>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</si>
  <si>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</si>
  <si>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</si>
  <si>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</si>
  <si>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</si>
  <si>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</si>
  <si>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</si>
  <si>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</si>
  <si>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</si>
  <si>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</si>
  <si>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</si>
  <si>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</si>
  <si>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</si>
  <si>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</si>
  <si>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</si>
  <si>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</si>
  <si>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</si>
  <si>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</si>
  <si>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</si>
  <si>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</si>
  <si>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</si>
  <si>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</si>
  <si>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</si>
  <si>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</si>
  <si>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</si>
  <si>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</si>
  <si>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</si>
  <si>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</si>
  <si>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</si>
  <si>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</si>
  <si>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</si>
  <si>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</si>
  <si>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</si>
  <si>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</si>
  <si>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</si>
  <si>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</si>
  <si>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</si>
  <si>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</si>
  <si>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</si>
  <si>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</si>
  <si>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</si>
  <si>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</si>
  <si>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</si>
  <si>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</si>
  <si>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</si>
  <si>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</si>
  <si>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</si>
  <si>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</si>
  <si>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</si>
  <si>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</si>
  <si>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</si>
  <si>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</si>
  <si>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</si>
  <si>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</si>
  <si>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</si>
  <si>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</si>
  <si>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</si>
  <si>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</si>
  <si>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</si>
  <si>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</si>
  <si>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</si>
  <si>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</si>
  <si>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</si>
  <si>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</si>
  <si>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</si>
  <si>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</si>
  <si>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</si>
  <si>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</si>
  <si>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</si>
  <si>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</si>
  <si>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</si>
  <si>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</si>
  <si>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</si>
  <si>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</si>
  <si>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</si>
  <si>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</si>
  <si>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</si>
  <si>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</si>
  <si>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</si>
  <si>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</si>
  <si>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</si>
  <si>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</si>
  <si>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</si>
  <si>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</si>
  <si>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</si>
  <si>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</si>
  <si>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</si>
  <si>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</si>
  <si>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</si>
  <si>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</si>
  <si>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</si>
  <si>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</si>
  <si>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</si>
  <si>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</si>
  <si>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</si>
  <si>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</si>
  <si>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</si>
  <si>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</si>
  <si>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</si>
  <si>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</si>
  <si>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</si>
  <si>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</si>
  <si>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</si>
  <si>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</si>
  <si>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</si>
  <si>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</si>
  <si>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</si>
  <si>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</si>
  <si>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</si>
  <si>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</si>
  <si>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</si>
  <si>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</si>
  <si>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</si>
  <si>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</si>
  <si>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</si>
  <si>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</si>
  <si>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</si>
  <si>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</si>
  <si>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</si>
  <si>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</si>
  <si>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</si>
  <si>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</si>
  <si>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</si>
  <si>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</si>
  <si>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</si>
  <si>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</si>
  <si>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</si>
  <si>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</si>
  <si>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</si>
  <si>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</si>
  <si>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</si>
  <si>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</si>
  <si>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</si>
  <si>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</si>
  <si>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</si>
  <si>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</si>
  <si>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</si>
  <si>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</si>
  <si>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</si>
  <si>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</si>
  <si>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</si>
  <si>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</si>
  <si>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</si>
  <si>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</si>
  <si>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</si>
  <si>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</si>
  <si>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</si>
  <si>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</si>
  <si>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</si>
  <si>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</si>
  <si>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</si>
  <si>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</si>
  <si>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</si>
  <si>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</si>
  <si>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</si>
  <si>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</si>
  <si>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</si>
  <si>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</si>
  <si>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</si>
  <si>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</si>
  <si>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</si>
  <si>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</si>
  <si>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</si>
  <si>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</si>
  <si>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</si>
  <si>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</si>
  <si>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</si>
  <si>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</si>
  <si>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</si>
  <si>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</si>
  <si>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</si>
  <si>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</si>
  <si>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</si>
  <si>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</si>
  <si>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</si>
  <si>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</si>
  <si>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</si>
  <si>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</si>
  <si>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</si>
  <si>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</si>
  <si>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</si>
  <si>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</si>
  <si>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</si>
  <si>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</si>
  <si>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</si>
  <si>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</si>
  <si>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</si>
  <si>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</si>
  <si>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</si>
  <si>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</si>
  <si>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</si>
  <si>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</si>
  <si>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</si>
  <si>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</si>
  <si>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</si>
  <si>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</si>
  <si>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</si>
  <si>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</si>
  <si>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</si>
  <si>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</si>
  <si>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</si>
  <si>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</si>
  <si>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</si>
  <si>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</si>
  <si>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</si>
  <si>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</si>
  <si>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</si>
  <si>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</si>
  <si>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</si>
  <si>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</si>
  <si>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</si>
  <si>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</si>
  <si>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</si>
  <si>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</si>
  <si>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</si>
  <si>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</si>
  <si>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</si>
  <si>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</si>
  <si>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</si>
  <si>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</si>
  <si>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</si>
  <si>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</si>
  <si>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</si>
  <si>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</si>
  <si>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</si>
  <si>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</si>
  <si>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</si>
  <si>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</si>
  <si>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</si>
  <si>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</si>
  <si>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</si>
  <si>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</si>
  <si>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</si>
  <si>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</si>
  <si>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</si>
  <si>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</si>
  <si>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</si>
  <si>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</si>
  <si>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</si>
  <si>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</si>
  <si>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</si>
  <si>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</si>
  <si>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</si>
  <si>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</si>
  <si>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</si>
  <si>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</si>
  <si>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</si>
  <si>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</si>
  <si>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</si>
  <si>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</si>
  <si>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</si>
  <si>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</si>
  <si>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</si>
  <si>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</si>
  <si>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</si>
  <si>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</si>
  <si>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</si>
  <si>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</si>
  <si>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</si>
  <si>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</si>
  <si>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</si>
  <si>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</si>
  <si>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</si>
  <si>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</si>
  <si>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</si>
  <si>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</si>
  <si>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</si>
  <si>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</si>
  <si>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</si>
  <si>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</si>
  <si>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</si>
  <si>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</si>
  <si>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</si>
  <si>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</si>
  <si>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</si>
  <si>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</si>
  <si>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</si>
  <si>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</si>
  <si>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</si>
  <si>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</si>
  <si>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</si>
  <si>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</si>
  <si>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</si>
  <si>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</si>
  <si>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</si>
  <si>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</si>
  <si>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</si>
  <si>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</si>
  <si>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</si>
  <si>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</si>
  <si>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</si>
  <si>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</si>
  <si>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</si>
  <si>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</si>
  <si>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</si>
  <si>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</si>
  <si>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</si>
  <si>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</si>
  <si>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</si>
  <si>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</si>
  <si>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</si>
  <si>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</si>
  <si>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</si>
  <si>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</si>
  <si>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</si>
  <si>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</si>
  <si>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</si>
  <si>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</si>
  <si>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</si>
  <si>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</si>
  <si>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</si>
  <si>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</si>
  <si>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</si>
  <si>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</si>
  <si>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</si>
  <si>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</si>
  <si>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</si>
  <si>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</si>
  <si>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</si>
  <si>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</si>
  <si>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</si>
  <si>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</si>
  <si>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</si>
  <si>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</si>
  <si>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</si>
  <si>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</si>
  <si>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</si>
  <si>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</si>
  <si>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</si>
  <si>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</si>
  <si>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</si>
  <si>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</si>
  <si>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</si>
  <si>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</si>
  <si>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</si>
  <si>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</si>
  <si>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</si>
  <si>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</si>
  <si>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</si>
  <si>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</si>
  <si>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</si>
  <si>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</si>
  <si>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</si>
  <si>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</si>
  <si>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</si>
  <si>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</si>
  <si>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</si>
  <si>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</si>
  <si>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</si>
  <si>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</si>
  <si>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</si>
  <si>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</si>
  <si>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</si>
  <si>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</si>
  <si>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</si>
  <si>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</si>
  <si>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</si>
  <si>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</si>
  <si>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</si>
  <si>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</si>
  <si>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</si>
  <si>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</si>
  <si>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</si>
  <si>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</si>
  <si>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</si>
  <si>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</si>
  <si>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</si>
  <si>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</si>
  <si>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</si>
  <si>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</si>
  <si>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</si>
  <si>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</si>
  <si>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</si>
  <si>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</si>
  <si>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</si>
  <si>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</si>
  <si>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</si>
  <si>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</si>
  <si>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</si>
  <si>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</si>
  <si>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</si>
  <si>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</si>
  <si>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</si>
  <si>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</si>
  <si>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</si>
  <si>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</si>
  <si>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</si>
  <si>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</si>
  <si>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</si>
  <si>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</si>
  <si>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</si>
  <si>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</si>
  <si>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</si>
  <si>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</si>
  <si>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</si>
  <si>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</si>
  <si>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</si>
  <si>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</si>
  <si>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</si>
  <si>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</si>
  <si>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</si>
  <si>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</si>
  <si>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</si>
  <si>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</si>
  <si>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</si>
  <si>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</si>
  <si>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</si>
  <si>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</si>
  <si>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</si>
  <si>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</si>
  <si>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</si>
  <si>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</si>
  <si>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</si>
  <si>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</si>
  <si>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</si>
  <si>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</si>
  <si>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</si>
  <si>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</si>
  <si>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</si>
  <si>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</si>
  <si>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</si>
  <si>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</si>
  <si>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</si>
  <si>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</si>
  <si>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</si>
  <si>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</si>
  <si>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</si>
  <si>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</si>
  <si>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</si>
  <si>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</si>
  <si>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</si>
  <si>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</si>
  <si>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</si>
  <si>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</si>
  <si>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</si>
  <si>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</si>
  <si>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</si>
  <si>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</si>
  <si>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</si>
  <si>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</si>
  <si>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</si>
  <si>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</si>
  <si>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</si>
  <si>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</si>
  <si>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</si>
  <si>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</si>
  <si>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</si>
  <si>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</si>
  <si>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</si>
  <si>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</si>
  <si>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</si>
  <si>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</si>
  <si>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</si>
  <si>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</si>
  <si>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</si>
  <si>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</si>
  <si>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</si>
  <si>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</si>
  <si>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</si>
  <si>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</si>
  <si>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</si>
  <si>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</si>
  <si>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</si>
  <si>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</si>
  <si>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</si>
  <si>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</si>
  <si>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</si>
  <si>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</si>
  <si>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</si>
  <si>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</si>
  <si>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</si>
  <si>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</si>
  <si>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</si>
  <si>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</si>
  <si>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</si>
  <si>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</si>
  <si>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</si>
  <si>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</si>
  <si>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</si>
  <si>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</si>
  <si>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</si>
  <si>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</si>
  <si>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</si>
  <si>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</si>
  <si>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</si>
  <si>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</si>
  <si>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</si>
  <si>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</si>
  <si>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</si>
  <si>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</si>
  <si>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</si>
  <si>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</si>
  <si>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</si>
  <si>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</si>
  <si>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</si>
  <si>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</si>
  <si>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</si>
  <si>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</si>
  <si>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</si>
  <si>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</si>
  <si>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</si>
  <si>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</si>
  <si>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</si>
  <si>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</si>
  <si>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</si>
  <si>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</si>
  <si>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</si>
  <si>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</si>
  <si>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</si>
  <si>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</si>
  <si>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</si>
  <si>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</si>
  <si>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</si>
  <si>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</si>
  <si>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</si>
  <si>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</si>
  <si>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</si>
  <si>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</si>
  <si>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</si>
  <si>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</si>
  <si>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</si>
  <si>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</si>
  <si>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</si>
  <si>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</si>
  <si>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</si>
  <si>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</si>
  <si>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</si>
  <si>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</si>
  <si>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</si>
  <si>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</si>
  <si>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</si>
  <si>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</si>
  <si>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</si>
  <si>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</si>
  <si>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</si>
  <si>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</si>
  <si>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</si>
  <si>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</si>
  <si>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</si>
  <si>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</si>
  <si>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</si>
  <si>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</si>
  <si>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</si>
  <si>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</si>
  <si>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</si>
  <si>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</si>
  <si>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</si>
  <si>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</si>
  <si>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</si>
  <si>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</si>
  <si>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</si>
  <si>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</si>
  <si>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</si>
  <si>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</si>
  <si>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</si>
  <si>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</si>
  <si>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</si>
  <si>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</si>
  <si>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</si>
  <si>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</si>
  <si>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</si>
  <si>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</si>
  <si>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</si>
  <si>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</si>
  <si>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</si>
  <si>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</si>
  <si>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</si>
  <si>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</si>
  <si>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</si>
  <si>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</si>
  <si>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</si>
  <si>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</si>
  <si>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</si>
  <si>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</si>
  <si>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</si>
  <si>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</si>
  <si>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</si>
  <si>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</si>
  <si>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</si>
  <si>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</si>
  <si>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</si>
  <si>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</si>
  <si>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</si>
  <si>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</si>
  <si>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</si>
  <si>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</si>
  <si>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</si>
  <si>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</si>
  <si>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</si>
  <si>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</si>
  <si>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</si>
  <si>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</si>
  <si>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</si>
  <si>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</si>
  <si>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</si>
  <si>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</si>
  <si>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</si>
  <si>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</si>
  <si>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</si>
  <si>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</si>
  <si>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</si>
  <si>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</si>
  <si>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</si>
  <si>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</si>
  <si>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</si>
  <si>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</si>
  <si>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</si>
  <si>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</si>
  <si>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</si>
  <si>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</si>
  <si>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</si>
  <si>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</si>
  <si>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</si>
  <si>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</si>
  <si>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</si>
  <si>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</si>
  <si>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</si>
  <si>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</si>
  <si>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</si>
  <si>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</si>
  <si>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</si>
  <si>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</si>
  <si>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</si>
  <si>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</si>
  <si>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</si>
  <si>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</si>
  <si>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</si>
  <si>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</si>
  <si>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</si>
  <si>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</si>
  <si>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</si>
  <si>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</si>
  <si>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</si>
  <si>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</si>
  <si>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</si>
  <si>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</si>
  <si>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</si>
  <si>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</si>
  <si>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</si>
  <si>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</si>
  <si>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</si>
  <si>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</si>
  <si>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</si>
  <si>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</si>
  <si>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</si>
  <si>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</si>
  <si>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</si>
  <si>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</si>
  <si>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</si>
  <si>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</si>
  <si>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</si>
  <si>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</si>
  <si>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</si>
  <si>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</si>
  <si>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</si>
  <si>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</si>
  <si>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</si>
  <si>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</si>
  <si>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</si>
  <si>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</si>
  <si>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</si>
  <si>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</si>
  <si>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</si>
  <si>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</si>
  <si>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</si>
  <si>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</si>
  <si>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</si>
  <si>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</si>
  <si>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</si>
  <si>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</si>
  <si>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</si>
  <si>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</si>
  <si>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</si>
  <si>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</si>
  <si>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</si>
  <si>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</si>
  <si>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</si>
  <si>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</si>
  <si>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</si>
  <si>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</si>
  <si>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</si>
  <si>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</si>
  <si>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</si>
  <si>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</si>
  <si>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</si>
  <si>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</si>
  <si>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</si>
  <si>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</si>
  <si>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</si>
  <si>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</si>
  <si>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</si>
  <si>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</si>
  <si>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</si>
  <si>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</si>
  <si>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</si>
  <si>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</si>
  <si>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</si>
  <si>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</si>
  <si>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</si>
  <si>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</si>
  <si>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</si>
  <si>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</si>
  <si>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</si>
  <si>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</si>
  <si>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</si>
  <si>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</si>
  <si>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</si>
  <si>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</si>
  <si>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</si>
  <si>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</si>
  <si>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</si>
  <si>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</si>
  <si>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</si>
  <si>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</si>
  <si>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</si>
  <si>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</si>
  <si>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</si>
  <si>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</si>
  <si>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</si>
  <si>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</si>
  <si>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</si>
  <si>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</si>
  <si>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</si>
  <si>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</si>
  <si>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</si>
  <si>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</si>
  <si>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</si>
  <si>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</si>
  <si>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</si>
  <si>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</si>
  <si>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</si>
  <si>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</si>
  <si>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</si>
  <si>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</si>
  <si>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</si>
  <si>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</si>
  <si>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</si>
  <si>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</si>
  <si>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</si>
  <si>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</si>
  <si>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</si>
  <si>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</si>
  <si>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</si>
  <si>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</si>
  <si>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</si>
  <si>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</si>
  <si>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</si>
  <si>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</si>
  <si>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</si>
  <si>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</si>
  <si>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</si>
  <si>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</si>
  <si>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</si>
  <si>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</si>
  <si>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</si>
  <si>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</si>
  <si>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</si>
  <si>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</si>
  <si>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</si>
  <si>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</si>
  <si>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</si>
  <si>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</si>
  <si>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</si>
  <si>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</si>
  <si>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</si>
  <si>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</si>
  <si>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</si>
  <si>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</si>
  <si>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</si>
  <si>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</si>
  <si>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</si>
  <si>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</si>
  <si>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</si>
  <si>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</si>
  <si>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</si>
  <si>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</si>
  <si>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</si>
  <si>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</si>
  <si>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</si>
  <si>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</si>
  <si>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</si>
  <si>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</si>
  <si>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</si>
  <si>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</si>
  <si>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</si>
  <si>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</si>
  <si>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</si>
  <si>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</si>
  <si>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</si>
  <si>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</si>
  <si>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</si>
  <si>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</si>
  <si>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</si>
  <si>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</si>
  <si>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</si>
  <si>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</si>
  <si>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</si>
  <si>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</si>
  <si>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</si>
  <si>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</si>
  <si>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</si>
  <si>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</si>
  <si>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</si>
  <si>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</si>
  <si>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</si>
  <si>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</si>
  <si>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</si>
  <si>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</si>
  <si>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</si>
  <si>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</si>
  <si>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</si>
  <si>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</si>
  <si>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</si>
  <si>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</si>
  <si>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</si>
  <si>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</si>
  <si>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</si>
  <si>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</si>
  <si>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</si>
  <si>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</si>
  <si>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</si>
  <si>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</si>
  <si>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</si>
  <si>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</si>
  <si>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</si>
  <si>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</si>
  <si>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</si>
  <si>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</si>
  <si>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</si>
  <si>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</si>
  <si>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</si>
  <si>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</si>
  <si>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</si>
  <si>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</si>
  <si>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</si>
  <si>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</si>
  <si>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</si>
  <si>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</si>
  <si>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</si>
  <si>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</si>
  <si>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</si>
  <si>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</si>
  <si>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</si>
  <si>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</si>
  <si>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</si>
  <si>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</si>
  <si>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</si>
  <si>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</si>
  <si>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</si>
  <si>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</si>
  <si>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</si>
  <si>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</si>
  <si>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</si>
  <si>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</si>
  <si>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</si>
  <si>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</si>
  <si>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</si>
  <si>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</si>
  <si>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</si>
  <si>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</si>
  <si>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</si>
  <si>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</si>
  <si>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</si>
  <si>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</si>
  <si>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</si>
  <si>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</si>
  <si>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</si>
  <si>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</si>
  <si>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</si>
  <si>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</si>
  <si>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</si>
  <si>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</si>
  <si>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</si>
  <si>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</si>
  <si>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</si>
  <si>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</si>
  <si>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</si>
  <si>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</si>
  <si>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</si>
  <si>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</si>
  <si>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</si>
  <si>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</si>
  <si>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</si>
  <si>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</si>
  <si>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</si>
  <si>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</si>
  <si>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</si>
  <si>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</si>
  <si>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</si>
  <si>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</si>
  <si>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</si>
  <si>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</si>
  <si>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</si>
  <si>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</si>
  <si>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</si>
  <si>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</si>
  <si>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</si>
  <si>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</si>
  <si>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</si>
  <si>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</si>
  <si>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</si>
  <si>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</si>
  <si>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</si>
  <si>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</si>
  <si>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</si>
  <si>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</si>
  <si>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</si>
  <si>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</si>
  <si>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</si>
  <si>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</si>
  <si>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</si>
  <si>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</si>
  <si>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</si>
  <si>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</si>
  <si>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</si>
  <si>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</si>
  <si>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</si>
  <si>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</si>
  <si>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</si>
  <si>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</si>
  <si>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</si>
  <si>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</si>
  <si>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</si>
  <si>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</si>
  <si>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</si>
  <si>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</si>
  <si>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</si>
  <si>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</si>
  <si>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</si>
  <si>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</si>
  <si>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</si>
  <si>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</si>
  <si>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</si>
  <si>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</si>
  <si>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</si>
  <si>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</si>
  <si>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</si>
  <si>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</si>
  <si>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</si>
  <si>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</si>
  <si>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</si>
  <si>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</si>
  <si>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</si>
  <si>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</si>
  <si>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</si>
  <si>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</si>
  <si>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</si>
  <si>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</si>
  <si>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</si>
  <si>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</si>
  <si>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</si>
  <si>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</si>
  <si>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</si>
  <si>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</si>
  <si>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</si>
  <si>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</si>
  <si>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</si>
  <si>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</si>
  <si>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</si>
  <si>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</si>
  <si>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</si>
  <si>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</si>
  <si>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</si>
  <si>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</si>
  <si>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</si>
  <si>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</si>
  <si>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</si>
  <si>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</si>
  <si>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</si>
  <si>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</si>
  <si>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</si>
  <si>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</si>
  <si>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</si>
  <si>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</si>
  <si>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</si>
  <si>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</si>
  <si>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</si>
  <si>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</si>
  <si>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</si>
  <si>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</si>
  <si>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</si>
  <si>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</si>
  <si>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</si>
  <si>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</si>
  <si>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</si>
  <si>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</si>
  <si>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</si>
  <si>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</si>
  <si>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</si>
  <si>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</si>
  <si>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</si>
  <si>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</si>
  <si>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</si>
  <si>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</si>
  <si>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</si>
  <si>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</si>
  <si>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</si>
  <si>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</si>
  <si>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</si>
  <si>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</si>
  <si>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</si>
  <si>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</si>
  <si>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</si>
  <si>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</si>
  <si>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</si>
  <si>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</si>
  <si>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</si>
  <si>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</si>
  <si>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</si>
  <si>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</si>
  <si>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</si>
  <si>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</si>
  <si>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</si>
  <si>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</si>
  <si>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</si>
  <si>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</si>
  <si>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</si>
  <si>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</si>
  <si>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</si>
  <si>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</si>
  <si>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</si>
  <si>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</si>
  <si>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</si>
  <si>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</si>
  <si>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</si>
  <si>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</si>
  <si>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</si>
  <si>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</si>
  <si>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</si>
  <si>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</si>
  <si>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</si>
  <si>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</si>
  <si>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</si>
  <si>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</si>
  <si>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</si>
  <si>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</si>
  <si>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</si>
  <si>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</si>
  <si>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</si>
  <si>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</si>
  <si>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</si>
  <si>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</si>
  <si>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</si>
  <si>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</si>
  <si>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</si>
  <si>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</si>
  <si>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</si>
  <si>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</si>
  <si>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</si>
  <si>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</si>
  <si>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</si>
  <si>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</si>
  <si>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</si>
  <si>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</si>
  <si>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</si>
  <si>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</si>
  <si>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</si>
  <si>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</si>
  <si>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</si>
  <si>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</si>
  <si>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</si>
  <si>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</si>
  <si>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</si>
  <si>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</si>
  <si>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</si>
  <si>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</si>
  <si>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</si>
  <si>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</si>
  <si>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</si>
  <si>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</si>
  <si>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</si>
  <si>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</si>
  <si>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</si>
  <si>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</si>
  <si>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</si>
  <si>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</si>
  <si>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</si>
  <si>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</si>
  <si>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</si>
  <si>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</si>
  <si>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</si>
  <si>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</si>
  <si>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</si>
  <si>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</si>
  <si>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</si>
  <si>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</si>
  <si>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</si>
  <si>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</si>
  <si>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</si>
  <si>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</si>
  <si>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</si>
  <si>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</si>
  <si>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</si>
  <si>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</si>
  <si>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</si>
  <si>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</si>
  <si>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</si>
  <si>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</si>
  <si>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</si>
  <si>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</si>
  <si>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</si>
  <si>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</si>
  <si>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</si>
  <si>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</si>
  <si>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</si>
  <si>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</si>
  <si>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</si>
  <si>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</si>
  <si>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</si>
  <si>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</si>
  <si>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</si>
  <si>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</si>
  <si>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</si>
  <si>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</si>
  <si>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</si>
  <si>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</si>
  <si>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</si>
  <si>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</si>
  <si>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</si>
  <si>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</si>
  <si>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</si>
  <si>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</si>
  <si>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</si>
  <si>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</si>
  <si>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</si>
  <si>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</si>
  <si>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</si>
  <si>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</si>
  <si>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</si>
  <si>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</si>
  <si>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</si>
  <si>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</si>
  <si>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</si>
  <si>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</si>
  <si>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</si>
  <si>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</si>
  <si>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</si>
  <si>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</si>
  <si>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</si>
  <si>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</si>
  <si>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</si>
  <si>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</si>
  <si>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</si>
  <si>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</si>
  <si>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</si>
  <si>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</si>
  <si>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</si>
  <si>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</si>
  <si>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</si>
  <si>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</si>
  <si>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</si>
  <si>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</si>
  <si>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</si>
  <si>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</si>
  <si>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</si>
  <si>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</si>
  <si>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</si>
  <si>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</si>
  <si>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</si>
  <si>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</si>
  <si>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</si>
  <si>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</si>
  <si>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</si>
  <si>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</si>
  <si>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</si>
  <si>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</si>
  <si>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</si>
  <si>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</si>
  <si>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</si>
  <si>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</si>
  <si>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</si>
  <si>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</si>
  <si>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</si>
  <si>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</si>
  <si>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</si>
  <si>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</si>
  <si>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</si>
  <si>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</si>
  <si>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</si>
  <si>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</si>
  <si>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</si>
  <si>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</si>
  <si>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</si>
  <si>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</si>
  <si>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</si>
  <si>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</si>
  <si>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</si>
  <si>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</si>
  <si>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</si>
  <si>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</si>
  <si>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</si>
  <si>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</si>
  <si>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</si>
  <si>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</si>
  <si>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</si>
  <si>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</si>
  <si>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</si>
  <si>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</si>
  <si>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</si>
  <si>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</si>
  <si>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</si>
  <si>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</si>
  <si>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</si>
  <si>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</si>
  <si>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</si>
  <si>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</si>
  <si>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</si>
  <si>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</si>
  <si>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</si>
  <si>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</si>
  <si>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</si>
  <si>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</si>
  <si>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</si>
  <si>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</si>
  <si>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</si>
  <si>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</si>
  <si>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</si>
  <si>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</si>
  <si>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</si>
  <si>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</si>
  <si>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</si>
  <si>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</si>
  <si>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</si>
  <si>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</si>
  <si>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</si>
  <si>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</si>
  <si>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</si>
  <si>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</si>
  <si>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</si>
  <si>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</si>
  <si>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</si>
  <si>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</si>
  <si>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</si>
  <si>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</si>
  <si>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</si>
  <si>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</si>
  <si>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</si>
  <si>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</si>
  <si>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</si>
  <si>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</si>
  <si>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</si>
  <si>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</si>
  <si>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</si>
  <si>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</si>
  <si>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</si>
  <si>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</si>
  <si>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</si>
  <si>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</si>
  <si>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</si>
  <si>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</si>
  <si>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</si>
  <si>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</si>
  <si>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</si>
  <si>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</si>
  <si>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</si>
  <si>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</si>
  <si>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</si>
  <si>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</si>
  <si>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</si>
  <si>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</si>
  <si>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</si>
  <si>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</si>
  <si>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</si>
  <si>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</si>
  <si>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</si>
  <si>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</si>
  <si>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</si>
  <si>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</si>
  <si>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</si>
  <si>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</si>
  <si>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</si>
  <si>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</si>
  <si>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</si>
  <si>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</si>
  <si>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</si>
  <si>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</si>
  <si>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</si>
  <si>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</si>
  <si>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</si>
  <si>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</si>
  <si>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</si>
  <si>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</si>
  <si>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</si>
  <si>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</si>
  <si>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</si>
  <si>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</si>
  <si>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</si>
  <si>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</si>
  <si>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</si>
  <si>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</si>
  <si>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</si>
  <si>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</si>
  <si>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</si>
  <si>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</si>
  <si>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</si>
  <si>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</si>
  <si>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</si>
  <si>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</si>
  <si>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</si>
  <si>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</si>
  <si>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</si>
  <si>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</si>
  <si>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</si>
  <si>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</si>
  <si>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</si>
  <si>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</si>
  <si>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</si>
  <si>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</si>
  <si>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</si>
  <si>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</si>
  <si>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</si>
  <si>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</si>
  <si>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</si>
  <si>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</si>
  <si>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</si>
  <si>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</si>
  <si>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</si>
  <si>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</si>
  <si>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</si>
  <si>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</si>
  <si>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</si>
  <si>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</si>
  <si>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</si>
  <si>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</si>
  <si>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</si>
  <si>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</si>
  <si>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</si>
  <si>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</si>
  <si>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</si>
  <si>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</si>
  <si>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</si>
  <si>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</si>
  <si>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</si>
  <si>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</si>
  <si>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</si>
  <si>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</si>
  <si>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</si>
  <si>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</si>
  <si>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</si>
  <si>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</si>
  <si>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</si>
  <si>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</si>
  <si>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</si>
  <si>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</si>
  <si>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</si>
  <si>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</si>
  <si>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</si>
  <si>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</si>
  <si>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</si>
  <si>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</si>
  <si>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</si>
  <si>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</si>
  <si>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</si>
  <si>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</si>
  <si>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</si>
  <si>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</si>
  <si>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</si>
  <si>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</si>
  <si>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</si>
  <si>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</si>
  <si>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</si>
  <si>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</si>
  <si>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</si>
  <si>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</si>
  <si>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</si>
  <si>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</si>
  <si>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</si>
  <si>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</si>
  <si>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</si>
  <si>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</si>
  <si>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</si>
  <si>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</si>
  <si>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</si>
  <si>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</si>
  <si>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</si>
  <si>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</si>
  <si>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</si>
  <si>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</si>
  <si>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</si>
  <si>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</si>
  <si>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</si>
  <si>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</si>
  <si>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</si>
  <si>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</si>
  <si>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</si>
  <si>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</si>
  <si>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</si>
  <si>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</si>
  <si>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</si>
  <si>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</si>
  <si>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</si>
  <si>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</si>
  <si>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</si>
  <si>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</si>
  <si>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</si>
  <si>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</si>
  <si>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</si>
  <si>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</si>
  <si>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</si>
  <si>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</si>
  <si>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</si>
  <si>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</si>
  <si>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</si>
  <si>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</si>
  <si>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</si>
  <si>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</si>
  <si>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</si>
  <si>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</si>
  <si>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</si>
  <si>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</si>
  <si>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</si>
  <si>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</si>
  <si>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</si>
  <si>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</si>
  <si>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</si>
  <si>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</si>
  <si>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</si>
  <si>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</si>
  <si>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</si>
  <si>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</si>
  <si>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</si>
  <si>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</si>
  <si>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</si>
  <si>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</si>
  <si>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</si>
  <si>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</si>
  <si>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</si>
  <si>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</si>
  <si>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</si>
  <si>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</si>
  <si>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</si>
  <si>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</si>
  <si>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</si>
  <si>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</si>
  <si>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</si>
  <si>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</si>
  <si>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</si>
  <si>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</si>
  <si>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</si>
  <si>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</si>
  <si>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</si>
  <si>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</si>
  <si>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</si>
  <si>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</si>
  <si>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</si>
  <si>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</si>
  <si>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</si>
  <si>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</si>
  <si>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</si>
  <si>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</si>
  <si>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</si>
  <si>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</si>
  <si>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</si>
  <si>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</si>
  <si>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</si>
  <si>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</si>
  <si>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</si>
  <si>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</si>
  <si>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</si>
  <si>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</si>
  <si>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</si>
  <si>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</si>
  <si>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</si>
  <si>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</si>
  <si>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</si>
  <si>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</si>
  <si>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</si>
  <si>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</si>
  <si>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</si>
  <si>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</si>
  <si>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</si>
  <si>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</si>
  <si>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</si>
  <si>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</si>
  <si>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</si>
  <si>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</si>
  <si>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</si>
  <si>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</si>
  <si>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</si>
  <si>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</si>
  <si>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</si>
  <si>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</si>
  <si>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</si>
  <si>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</si>
  <si>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</si>
  <si>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</si>
  <si>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</si>
  <si>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</si>
  <si>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</si>
  <si>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</si>
  <si>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</si>
  <si>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</si>
  <si>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</si>
  <si>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</si>
  <si>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</si>
  <si>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</si>
  <si>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</si>
  <si>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</si>
  <si>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</si>
  <si>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</si>
  <si>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</si>
  <si>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</si>
  <si>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</si>
  <si>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</si>
  <si>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</si>
  <si>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</si>
  <si>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</si>
  <si>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</si>
  <si>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</si>
  <si>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</si>
  <si>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</si>
  <si>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</si>
  <si>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</si>
  <si>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</si>
  <si>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</si>
  <si>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</si>
  <si>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</si>
  <si>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</si>
  <si>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</si>
  <si>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</si>
  <si>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</si>
  <si>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</si>
  <si>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</si>
  <si>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</si>
  <si>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</si>
  <si>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</si>
  <si>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</si>
  <si>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</si>
  <si>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</si>
  <si>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</si>
  <si>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</si>
  <si>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</si>
  <si>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</si>
  <si>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</si>
  <si>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</si>
  <si>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</si>
  <si>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</si>
  <si>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</si>
  <si>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</si>
  <si>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</si>
  <si>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</si>
  <si>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</si>
  <si>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</si>
  <si>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</si>
  <si>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</si>
  <si>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</si>
  <si>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</si>
  <si>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</si>
  <si>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</si>
  <si>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</si>
  <si>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</si>
  <si>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</si>
  <si>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</si>
  <si>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</si>
  <si>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</si>
  <si>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</si>
  <si>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</si>
  <si>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</si>
  <si>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</si>
  <si>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</si>
  <si>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</si>
  <si>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</si>
  <si>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</si>
  <si>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</si>
  <si>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</si>
  <si>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</si>
  <si>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</si>
  <si>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</si>
  <si>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</si>
  <si>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</si>
  <si>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</si>
  <si>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</si>
  <si>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</si>
  <si>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</si>
  <si>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</si>
  <si>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</si>
  <si>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</si>
  <si>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</si>
  <si>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</si>
  <si>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</si>
  <si>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</si>
  <si>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</si>
  <si>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</si>
  <si>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</si>
  <si>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</si>
  <si>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</si>
  <si>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</si>
  <si>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</si>
  <si>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</si>
  <si>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</si>
  <si>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</si>
  <si>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</si>
  <si>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</si>
  <si>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</si>
  <si>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</si>
  <si>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</si>
  <si>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</si>
  <si>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</si>
  <si>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</si>
  <si>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</si>
  <si>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</si>
  <si>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</si>
  <si>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</si>
  <si>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</si>
  <si>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</si>
  <si>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</si>
  <si>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</si>
  <si>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</si>
  <si>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</si>
  <si>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</si>
  <si>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</si>
  <si>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</si>
  <si>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</si>
  <si>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</si>
  <si>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</si>
  <si>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</si>
  <si>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</si>
  <si>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</si>
  <si>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</si>
  <si>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</si>
  <si>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</si>
  <si>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</si>
  <si>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</si>
  <si>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</si>
  <si>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</si>
  <si>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</si>
  <si>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</si>
  <si>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</si>
  <si>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</si>
  <si>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</si>
  <si>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</si>
  <si>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</si>
  <si>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</si>
  <si>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</si>
  <si>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</si>
  <si>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</si>
  <si>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</si>
  <si>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</si>
  <si>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</si>
  <si>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</si>
  <si>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</si>
  <si>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</si>
  <si>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</si>
  <si>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</si>
  <si>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</si>
  <si>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</si>
  <si>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</si>
  <si>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</si>
  <si>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</si>
  <si>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</si>
  <si>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</si>
  <si>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</si>
  <si>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</si>
  <si>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</si>
  <si>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</si>
  <si>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</si>
  <si>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</si>
  <si>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</si>
  <si>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</si>
  <si>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</si>
  <si>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</si>
  <si>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</si>
  <si>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</si>
  <si>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</si>
  <si>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</si>
  <si>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</si>
  <si>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</si>
  <si>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</si>
  <si>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</si>
  <si>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</si>
  <si>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</si>
  <si>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</si>
  <si>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</si>
  <si>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</si>
  <si>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</si>
  <si>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</si>
  <si>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</si>
  <si>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</si>
  <si>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</si>
  <si>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</si>
  <si>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</si>
  <si>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</si>
  <si>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</si>
  <si>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</si>
  <si>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</si>
  <si>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</si>
  <si>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</si>
  <si>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</si>
  <si>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</si>
  <si>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</si>
  <si>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</si>
  <si>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</si>
  <si>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</si>
  <si>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</si>
  <si>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</si>
  <si>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</si>
  <si>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</si>
  <si>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</si>
  <si>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</si>
  <si>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</si>
  <si>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</si>
  <si>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</si>
  <si>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</si>
  <si>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</si>
  <si>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</si>
  <si>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</si>
  <si>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</si>
  <si>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</si>
  <si>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</si>
  <si>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</si>
  <si>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</si>
  <si>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</si>
  <si>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</si>
  <si>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</si>
  <si>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</si>
  <si>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</si>
  <si>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</si>
  <si>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</si>
  <si>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</si>
  <si>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</si>
  <si>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</si>
  <si>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</si>
  <si>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</si>
  <si>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</si>
  <si>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</si>
  <si>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</si>
  <si>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</si>
  <si>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</si>
  <si>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</si>
  <si>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</si>
  <si>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</si>
  <si>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</si>
  <si>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</si>
  <si>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</si>
  <si>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</si>
  <si>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</si>
  <si>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</si>
  <si>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</si>
  <si>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</si>
  <si>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</si>
  <si>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</si>
  <si>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</si>
  <si>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</si>
  <si>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</si>
  <si>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</si>
  <si>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</si>
  <si>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</si>
  <si>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</si>
  <si>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</si>
  <si>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</si>
  <si>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</si>
  <si>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</si>
  <si>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</si>
  <si>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</si>
  <si>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</si>
  <si>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</si>
  <si>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</si>
  <si>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</si>
  <si>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</si>
  <si>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</si>
  <si>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</si>
  <si>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</si>
  <si>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</si>
  <si>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</si>
  <si>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</si>
  <si>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</si>
  <si>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</si>
  <si>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</si>
  <si>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</si>
  <si>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</si>
  <si>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</si>
  <si>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</si>
  <si>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</si>
  <si>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</si>
  <si>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</si>
  <si>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</si>
  <si>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</si>
  <si>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</si>
  <si>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</si>
  <si>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</si>
  <si>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</si>
  <si>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</si>
  <si>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</si>
  <si>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</si>
  <si>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</si>
  <si>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</si>
  <si>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</si>
  <si>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</si>
  <si>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</si>
  <si>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</si>
  <si>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</si>
  <si>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</si>
  <si>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</si>
  <si>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</si>
  <si>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</si>
  <si>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</si>
  <si>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</si>
  <si>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</si>
  <si>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</si>
  <si>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</si>
  <si>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</si>
  <si>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</si>
  <si>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</si>
  <si>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</si>
  <si>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</si>
  <si>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</si>
  <si>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</si>
  <si>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</si>
  <si>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</si>
  <si>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</si>
  <si>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</si>
  <si>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</si>
  <si>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</si>
  <si>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</si>
  <si>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</si>
  <si>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</si>
  <si>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</si>
  <si>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</si>
  <si>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</si>
  <si>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</si>
  <si>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</si>
  <si>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</si>
  <si>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</si>
  <si>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</si>
  <si>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</si>
  <si>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</si>
  <si>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</si>
  <si>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</si>
  <si>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</si>
  <si>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</si>
  <si>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</si>
  <si>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</si>
  <si>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</si>
  <si>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</si>
  <si>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</si>
  <si>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</si>
  <si>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</si>
  <si>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</si>
  <si>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</si>
  <si>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</si>
  <si>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</si>
  <si>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</si>
  <si>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</si>
  <si>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</si>
  <si>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</si>
  <si>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</si>
  <si>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</si>
  <si>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</si>
  <si>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</si>
  <si>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</si>
  <si>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</si>
  <si>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</si>
  <si>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</si>
  <si>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</si>
  <si>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</si>
  <si>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</si>
  <si>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</si>
  <si>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</si>
  <si>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</si>
  <si>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</si>
  <si>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</si>
  <si>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</si>
  <si>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</si>
  <si>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</si>
  <si>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</si>
  <si>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</si>
  <si>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</si>
  <si>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</si>
  <si>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</si>
  <si>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</si>
  <si>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</si>
  <si>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</si>
  <si>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</si>
  <si>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</si>
  <si>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</si>
  <si>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</si>
  <si>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</si>
  <si>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</si>
  <si>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</si>
  <si>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</si>
  <si>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</si>
  <si>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</si>
  <si>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</si>
  <si>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</si>
  <si>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</si>
  <si>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</si>
  <si>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</si>
  <si>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</si>
  <si>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</si>
  <si>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</si>
  <si>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</si>
  <si>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</si>
  <si>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</si>
  <si>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</si>
  <si>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</si>
  <si>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</si>
  <si>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</si>
  <si>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</si>
  <si>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</si>
  <si>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</si>
  <si>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</si>
  <si>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</si>
  <si>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</si>
  <si>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</si>
  <si>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</si>
  <si>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</si>
  <si>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</si>
  <si>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</si>
  <si>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</si>
  <si>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</si>
  <si>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</si>
  <si>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</si>
  <si>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</si>
  <si>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</si>
  <si>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</si>
  <si>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</si>
  <si>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</si>
  <si>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</si>
  <si>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</si>
  <si>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</si>
  <si>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</si>
  <si>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</si>
  <si>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</si>
  <si>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</si>
  <si>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</si>
  <si>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</si>
  <si>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</si>
  <si>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</si>
  <si>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</si>
  <si>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</si>
  <si>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</si>
  <si>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</si>
  <si>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</si>
  <si>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</si>
  <si>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</si>
  <si>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</si>
  <si>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</si>
  <si>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</si>
  <si>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</si>
  <si>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</si>
  <si>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</si>
  <si>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</si>
  <si>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</si>
  <si>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</si>
  <si>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</si>
  <si>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</si>
  <si>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</si>
  <si>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</si>
  <si>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</si>
  <si>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</si>
  <si>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</si>
  <si>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</si>
  <si>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</si>
  <si>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</si>
  <si>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</si>
  <si>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</si>
  <si>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</si>
  <si>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</si>
  <si>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</si>
  <si>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</si>
  <si>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</si>
  <si>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</si>
  <si>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</si>
  <si>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</si>
  <si>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</si>
  <si>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</si>
  <si>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</si>
  <si>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</si>
  <si>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</si>
  <si>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</si>
  <si>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</si>
  <si>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</si>
  <si>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</si>
  <si>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</si>
  <si>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</si>
  <si>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</si>
  <si>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</si>
  <si>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</si>
  <si>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</si>
  <si>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</si>
  <si>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</si>
  <si>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</si>
  <si>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</si>
  <si>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</si>
  <si>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</si>
  <si>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</si>
  <si>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</si>
  <si>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</si>
  <si>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</si>
  <si>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</si>
  <si>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</si>
  <si>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</si>
  <si>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</si>
  <si>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</si>
  <si>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</si>
  <si>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</si>
  <si>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</si>
  <si>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</si>
  <si>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</si>
  <si>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</si>
  <si>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</si>
  <si>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</si>
  <si>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</si>
  <si>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</si>
  <si>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</si>
  <si>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</si>
  <si>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</si>
  <si>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</si>
  <si>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</si>
  <si>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</si>
  <si>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</si>
  <si>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</si>
  <si>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</si>
  <si>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</si>
  <si>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</si>
  <si>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</si>
  <si>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</si>
  <si>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</si>
  <si>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</si>
  <si>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</si>
  <si>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</si>
  <si>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</si>
  <si>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</si>
  <si>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</si>
  <si>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</si>
  <si>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</si>
  <si>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</si>
  <si>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</si>
  <si>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</si>
  <si>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</si>
  <si>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</si>
  <si>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</si>
  <si>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</si>
  <si>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</si>
  <si>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</si>
  <si>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</si>
  <si>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</si>
  <si>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</si>
  <si>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</si>
  <si>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</si>
  <si>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</si>
  <si>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</si>
  <si>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</si>
  <si>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</si>
  <si>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</si>
  <si>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</si>
  <si>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</si>
  <si>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</si>
  <si>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</si>
  <si>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</si>
  <si>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</si>
  <si>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</si>
  <si>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</si>
  <si>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</si>
  <si>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</si>
  <si>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</si>
  <si>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</si>
  <si>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</si>
  <si>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</si>
  <si>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</si>
  <si>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</si>
  <si>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</si>
  <si>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</si>
  <si>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</si>
  <si>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</si>
  <si>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</si>
  <si>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</si>
  <si>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</si>
  <si>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</si>
  <si>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</si>
  <si>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</si>
  <si>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</si>
  <si>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</si>
  <si>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</si>
  <si>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</si>
  <si>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</si>
  <si>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</si>
  <si>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</si>
  <si>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</si>
  <si>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</si>
  <si>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</si>
  <si>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</si>
  <si>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</si>
  <si>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</si>
  <si>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</si>
  <si>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</si>
  <si>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</si>
  <si>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</si>
  <si>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</si>
  <si>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</si>
  <si>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</si>
  <si>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</si>
  <si>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</si>
  <si>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</si>
  <si>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</si>
  <si>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</si>
  <si>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</si>
  <si>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</si>
  <si>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</si>
  <si>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</si>
  <si>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</si>
  <si>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</si>
  <si>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</si>
  <si>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</si>
  <si>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</si>
  <si>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</si>
  <si>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</si>
  <si>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</si>
  <si>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</si>
  <si>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</si>
  <si>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</si>
  <si>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</si>
  <si>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</si>
  <si>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</si>
  <si>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</si>
  <si>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</si>
  <si>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</si>
  <si>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</si>
  <si>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</si>
  <si>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</si>
  <si>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</si>
  <si>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</si>
  <si>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</si>
  <si>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</si>
  <si>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</si>
  <si>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</si>
  <si>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</si>
  <si>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</si>
  <si>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</si>
  <si>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</si>
  <si>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</si>
  <si>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</si>
  <si>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</si>
  <si>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</si>
  <si>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</si>
  <si>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</si>
  <si>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</si>
  <si>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</si>
  <si>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</si>
  <si>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</si>
  <si>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</si>
  <si>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</si>
  <si>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</si>
  <si>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</si>
  <si>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</si>
  <si>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</si>
  <si>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</si>
  <si>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</si>
  <si>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</si>
  <si>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</si>
  <si>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</si>
  <si>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</si>
  <si>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</si>
  <si>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</si>
  <si>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</si>
  <si>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</si>
  <si>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</si>
  <si>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</si>
  <si>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</si>
  <si>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</si>
  <si>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</si>
  <si>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</si>
  <si>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</si>
  <si>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</si>
  <si>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</si>
  <si>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</si>
  <si>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</si>
  <si>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</si>
  <si>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</si>
  <si>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</si>
  <si>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</si>
  <si>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</si>
  <si>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</si>
  <si>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</si>
  <si>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</si>
  <si>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</si>
  <si>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</si>
  <si>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</si>
  <si>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</si>
  <si>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</si>
  <si>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</si>
  <si>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</si>
  <si>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</si>
  <si>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</si>
  <si>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</si>
  <si>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</si>
  <si>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</si>
  <si>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</si>
  <si>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</si>
  <si>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</si>
  <si>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</si>
  <si>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</si>
  <si>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</si>
  <si>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</si>
  <si>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</si>
  <si>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</si>
  <si>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</si>
  <si>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</si>
  <si>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</si>
  <si>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</si>
  <si>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</si>
  <si>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</si>
  <si>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</si>
  <si>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</si>
  <si>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</si>
  <si>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</si>
  <si>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</si>
  <si>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</si>
  <si>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</si>
  <si>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</si>
  <si>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</si>
  <si>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</si>
  <si>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</si>
  <si>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</si>
  <si>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</si>
  <si>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</si>
  <si>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</si>
  <si>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</si>
  <si>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</si>
  <si>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</si>
  <si>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</si>
  <si>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</si>
  <si>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</si>
  <si>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</si>
  <si>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</si>
  <si>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</si>
  <si>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</si>
  <si>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</si>
  <si>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</si>
  <si>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</si>
  <si>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</si>
  <si>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</si>
  <si>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</si>
  <si>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</si>
  <si>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</si>
  <si>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</si>
  <si>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</si>
  <si>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</si>
  <si>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</si>
  <si>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</si>
  <si>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</si>
  <si>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</si>
  <si>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</si>
  <si>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</si>
  <si>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</si>
  <si>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</si>
  <si>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</si>
  <si>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</si>
  <si>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</si>
  <si>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</si>
  <si>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</si>
  <si>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</si>
  <si>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</si>
  <si>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</si>
  <si>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</si>
  <si>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</si>
  <si>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</si>
  <si>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</si>
  <si>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</si>
  <si>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</si>
  <si>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</si>
  <si>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</si>
  <si>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</si>
  <si>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</si>
  <si>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</si>
  <si>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</si>
  <si>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</si>
  <si>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</si>
  <si>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</si>
  <si>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</si>
  <si>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</si>
  <si>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</si>
  <si>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</si>
  <si>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</si>
  <si>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</si>
  <si>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</si>
  <si>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</si>
  <si>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</si>
  <si>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</si>
  <si>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</si>
  <si>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</si>
  <si>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</si>
  <si>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</si>
  <si>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</si>
  <si>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</si>
  <si>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</si>
  <si>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</si>
  <si>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</si>
  <si>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</si>
  <si>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</si>
  <si>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</si>
  <si>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</si>
  <si>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</si>
  <si>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</si>
  <si>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</si>
  <si>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</si>
  <si>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</si>
  <si>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</si>
  <si>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</si>
  <si>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</si>
  <si>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</si>
  <si>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</si>
  <si>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</si>
  <si>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</si>
  <si>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</si>
  <si>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</si>
  <si>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</si>
  <si>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</si>
  <si>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</si>
  <si>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</si>
  <si>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</si>
  <si>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</si>
  <si>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</si>
  <si>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</si>
  <si>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</si>
  <si>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</si>
  <si>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</si>
  <si>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</si>
  <si>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</si>
  <si>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</si>
  <si>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</si>
  <si>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</si>
  <si>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</si>
  <si>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</si>
  <si>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</si>
  <si>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</si>
  <si>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</si>
  <si>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</si>
  <si>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</si>
  <si>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</si>
  <si>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</si>
  <si>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</si>
  <si>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</si>
  <si>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</si>
  <si>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</si>
  <si>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</si>
  <si>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</si>
  <si>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</si>
  <si>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</si>
  <si>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</si>
  <si>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</si>
  <si>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</si>
  <si>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</si>
  <si>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</si>
  <si>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</si>
  <si>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</si>
  <si>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</si>
  <si>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</si>
  <si>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</si>
  <si>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</si>
  <si>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</si>
  <si>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</si>
  <si>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</si>
  <si>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</si>
  <si>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</si>
  <si>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</si>
  <si>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</si>
  <si>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</si>
  <si>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</si>
  <si>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</si>
  <si>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</si>
  <si>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</si>
  <si>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</si>
  <si>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</si>
  <si>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</si>
  <si>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</si>
  <si>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</si>
  <si>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</si>
  <si>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</si>
  <si>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</si>
  <si>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</si>
  <si>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</si>
  <si>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</si>
  <si>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</si>
  <si>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</si>
  <si>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</si>
  <si>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</si>
  <si>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</si>
  <si>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</si>
  <si>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</si>
  <si>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</si>
  <si>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</si>
  <si>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</si>
  <si>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</si>
  <si>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</si>
  <si>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</si>
  <si>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</si>
  <si>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</si>
  <si>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</si>
  <si>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</si>
  <si>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</si>
  <si>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</si>
  <si>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</si>
  <si>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</si>
  <si>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</si>
  <si>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</si>
  <si>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</si>
  <si>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</si>
  <si>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</si>
  <si>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</si>
  <si>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</si>
  <si>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</si>
  <si>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</si>
  <si>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</si>
  <si>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</si>
  <si>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</si>
  <si>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</si>
  <si>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</si>
  <si>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</si>
  <si>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</si>
  <si>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</si>
  <si>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</si>
  <si>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</si>
  <si>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</si>
  <si>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</si>
  <si>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</si>
  <si>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</si>
  <si>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</si>
  <si>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</si>
  <si>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</si>
  <si>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</si>
  <si>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</si>
  <si>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</si>
  <si>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</si>
  <si>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</si>
  <si>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</si>
  <si>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</si>
  <si>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</si>
  <si>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</si>
  <si>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</si>
  <si>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</si>
  <si>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</si>
  <si>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</si>
  <si>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</si>
  <si>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</si>
  <si>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</si>
  <si>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</si>
  <si>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</si>
  <si>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</si>
  <si>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</si>
  <si>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</si>
  <si>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</si>
  <si>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</si>
  <si>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</si>
  <si>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</si>
  <si>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</si>
  <si>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</si>
  <si>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</si>
  <si>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</si>
  <si>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</si>
  <si>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</si>
  <si>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</si>
  <si>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</si>
  <si>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</si>
  <si>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</si>
  <si>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</si>
  <si>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</si>
  <si>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</si>
  <si>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</si>
  <si>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</si>
  <si>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</si>
  <si>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</si>
  <si>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</si>
  <si>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</si>
  <si>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</si>
  <si>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</si>
  <si>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</si>
  <si>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</si>
  <si>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</si>
  <si>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</si>
  <si>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</si>
  <si>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</si>
  <si>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</si>
  <si>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</si>
  <si>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</si>
  <si>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</si>
  <si>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</si>
  <si>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</si>
  <si>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</si>
  <si>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</si>
  <si>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</si>
  <si>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</si>
  <si>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</si>
  <si>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</si>
  <si>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</si>
  <si>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</si>
  <si>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</si>
  <si>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</si>
  <si>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</si>
  <si>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</si>
  <si>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</si>
  <si>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</si>
  <si>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</si>
  <si>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</si>
  <si>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</si>
  <si>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</si>
  <si>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</si>
  <si>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</si>
  <si>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</si>
  <si>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</si>
  <si>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</si>
  <si>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</si>
  <si>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</si>
  <si>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</si>
  <si>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</si>
  <si>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</si>
  <si>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</si>
  <si>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</si>
  <si>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</si>
  <si>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</si>
  <si>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</si>
  <si>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</si>
  <si>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</si>
  <si>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</si>
  <si>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</si>
  <si>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</si>
  <si>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</si>
  <si>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</si>
  <si>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</si>
  <si>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</si>
  <si>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</si>
  <si>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</si>
  <si>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</si>
  <si>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</si>
  <si>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</si>
  <si>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</si>
  <si>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</si>
  <si>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</si>
  <si>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</si>
  <si>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</si>
  <si>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</si>
  <si>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</si>
  <si>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</si>
  <si>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</si>
  <si>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</si>
  <si>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</si>
  <si>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</si>
  <si>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</si>
  <si>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</si>
  <si>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</si>
  <si>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</si>
  <si>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</si>
  <si>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</si>
  <si>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</si>
  <si>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</si>
  <si>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</si>
  <si>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</si>
  <si>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</si>
  <si>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</si>
  <si>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</si>
  <si>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</si>
  <si>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</si>
  <si>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</si>
  <si>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</si>
  <si>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</si>
  <si>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</si>
  <si>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</si>
  <si>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</si>
  <si>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</si>
  <si>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</si>
  <si>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</si>
  <si>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</si>
  <si>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</si>
  <si>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</si>
  <si>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</si>
  <si>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</si>
  <si>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</si>
  <si>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</si>
  <si>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</si>
  <si>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</si>
  <si>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</si>
  <si>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</si>
  <si>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</si>
  <si>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</si>
  <si>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</si>
  <si>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</si>
  <si>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</si>
  <si>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</si>
  <si>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</si>
  <si>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</si>
  <si>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</si>
  <si>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</si>
  <si>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</si>
  <si>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</si>
  <si>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</si>
  <si>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</si>
  <si>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</si>
  <si>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</si>
  <si>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</si>
  <si>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</si>
  <si>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</si>
  <si>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</si>
  <si>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</si>
  <si>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</si>
  <si>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</si>
  <si>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</si>
  <si>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</si>
  <si>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</si>
  <si>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</si>
  <si>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</si>
  <si>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</si>
  <si>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</si>
  <si>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</si>
  <si>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</si>
  <si>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</si>
  <si>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</si>
  <si>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</si>
  <si>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</si>
  <si>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</si>
  <si>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</si>
  <si>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</si>
  <si>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</si>
  <si>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</si>
  <si>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</si>
  <si>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</si>
  <si>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</si>
  <si>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</si>
  <si>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</si>
  <si>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</si>
  <si>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</si>
  <si>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</si>
  <si>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</si>
  <si>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</si>
  <si>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</si>
  <si>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</si>
  <si>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</si>
  <si>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</si>
  <si>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</si>
  <si>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</si>
  <si>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</si>
  <si>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</si>
  <si>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</si>
  <si>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</si>
  <si>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</si>
  <si>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</si>
  <si>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</si>
  <si>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</si>
  <si>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</si>
  <si>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</si>
  <si>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</si>
  <si>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</si>
  <si>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</si>
  <si>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</si>
  <si>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</si>
  <si>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</si>
  <si>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</si>
  <si>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</si>
  <si>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</si>
  <si>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</si>
  <si>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</si>
  <si>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</si>
  <si>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</si>
  <si>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</si>
  <si>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</si>
  <si>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</si>
  <si>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</si>
  <si>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</si>
  <si>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</si>
  <si>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</si>
  <si>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</si>
  <si>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</si>
  <si>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</si>
  <si>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</si>
  <si>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</si>
  <si>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</si>
  <si>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</si>
  <si>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</si>
  <si>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</si>
  <si>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</si>
  <si>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</si>
  <si>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</si>
  <si>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</si>
  <si>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</si>
  <si>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</si>
  <si>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</si>
  <si>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</si>
  <si>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</si>
  <si>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</si>
  <si>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</si>
  <si>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</si>
  <si>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</si>
  <si>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</si>
  <si>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</si>
  <si>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</si>
  <si>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</si>
  <si>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</si>
  <si>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</si>
  <si>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</si>
  <si>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</si>
  <si>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</si>
  <si>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</si>
  <si>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</si>
  <si>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</si>
  <si>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</si>
  <si>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</si>
  <si>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</si>
  <si>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</si>
  <si>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</si>
  <si>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</si>
  <si>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</si>
  <si>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</si>
  <si>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</si>
  <si>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</si>
  <si>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</si>
  <si>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</si>
  <si>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</si>
  <si>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</si>
  <si>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</si>
  <si>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</si>
  <si>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</si>
  <si>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</si>
  <si>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</si>
  <si>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</si>
  <si>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</si>
  <si>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</si>
  <si>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</si>
  <si>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</si>
  <si>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</si>
  <si>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</si>
  <si>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</si>
  <si>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</si>
  <si>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</si>
  <si>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</si>
  <si>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</si>
  <si>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</si>
  <si>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</si>
  <si>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</si>
  <si>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</si>
  <si>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</si>
  <si>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</si>
  <si>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</si>
  <si>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</si>
  <si>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</si>
  <si>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</si>
  <si>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</si>
  <si>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</si>
  <si>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</si>
  <si>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</si>
  <si>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</si>
  <si>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</si>
  <si>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</si>
  <si>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</si>
  <si>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</si>
  <si>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</si>
  <si>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</si>
  <si>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</si>
  <si>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</si>
  <si>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</si>
  <si>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</si>
  <si>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</si>
  <si>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</si>
  <si>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</si>
  <si>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</si>
  <si>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</si>
  <si>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</si>
  <si>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</si>
  <si>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</si>
  <si>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</si>
  <si>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</si>
  <si>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</si>
  <si>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</si>
  <si>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</si>
  <si>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</si>
  <si>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</si>
  <si>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</si>
  <si>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</si>
  <si>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</si>
  <si>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</si>
  <si>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</si>
  <si>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</si>
  <si>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</si>
  <si>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</si>
  <si>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</si>
  <si>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</si>
  <si>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</si>
  <si>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</si>
  <si>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</si>
  <si>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</si>
  <si>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</si>
  <si>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</si>
  <si>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</si>
  <si>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</si>
  <si>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</si>
  <si>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</si>
  <si>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</si>
  <si>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</si>
  <si>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</si>
  <si>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</si>
  <si>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</si>
  <si>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</si>
  <si>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</si>
  <si>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</si>
  <si>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</si>
  <si>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</si>
  <si>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</si>
  <si>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</si>
  <si>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</si>
  <si>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</si>
  <si>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</si>
  <si>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</si>
  <si>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</si>
  <si>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</si>
  <si>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</si>
  <si>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</si>
  <si>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</si>
  <si>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</si>
  <si>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</si>
  <si>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</si>
  <si>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</si>
  <si>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</si>
  <si>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</si>
  <si>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</si>
  <si>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</si>
  <si>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</si>
  <si>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</si>
  <si>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</si>
  <si>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</si>
  <si>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</si>
  <si>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</si>
  <si>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</si>
  <si>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</si>
  <si>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</si>
  <si>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</si>
  <si>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</si>
  <si>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</si>
  <si>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</si>
  <si>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</si>
  <si>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</si>
  <si>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</si>
  <si>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</si>
  <si>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</si>
  <si>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</si>
  <si>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</si>
  <si>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</si>
  <si>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</si>
  <si>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</si>
  <si>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</si>
  <si>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</si>
  <si>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</si>
  <si>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</si>
  <si>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</si>
  <si>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</si>
  <si>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</si>
  <si>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</si>
  <si>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</si>
  <si>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</si>
  <si>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</si>
  <si>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</si>
  <si>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</si>
  <si>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</si>
  <si>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</si>
  <si>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</si>
  <si>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</si>
  <si>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</si>
  <si>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</si>
  <si>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</si>
  <si>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</si>
  <si>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</si>
  <si>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</si>
  <si>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</si>
  <si>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</si>
  <si>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</si>
  <si>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</si>
  <si>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</si>
  <si>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</si>
  <si>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</si>
  <si>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</si>
  <si>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</si>
  <si>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</si>
  <si>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</si>
  <si>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</si>
  <si>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</si>
  <si>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</si>
  <si>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</si>
  <si>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</si>
  <si>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</si>
  <si>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</si>
  <si>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</si>
  <si>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</si>
  <si>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</si>
  <si>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</si>
  <si>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</si>
  <si>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</si>
  <si>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</si>
  <si>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</si>
  <si>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</si>
  <si>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</si>
  <si>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</si>
  <si>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</si>
  <si>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</si>
  <si>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</si>
  <si>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</si>
  <si>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</si>
  <si>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</si>
  <si>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</si>
  <si>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</si>
  <si>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</si>
  <si>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</si>
  <si>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</si>
  <si>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</si>
  <si>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</si>
  <si>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</si>
  <si>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</si>
  <si>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</si>
  <si>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</si>
  <si>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</si>
  <si>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</si>
  <si>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</si>
  <si>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</si>
  <si>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</si>
  <si>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</si>
  <si>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</si>
  <si>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</si>
  <si>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</si>
  <si>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</si>
  <si>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</si>
  <si>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</si>
  <si>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</si>
  <si>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</si>
  <si>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</si>
  <si>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</si>
  <si>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</si>
  <si>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</si>
  <si>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</si>
  <si>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</si>
  <si>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</si>
  <si>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</si>
  <si>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</si>
  <si>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</si>
  <si>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</si>
  <si>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</si>
  <si>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</si>
  <si>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</si>
  <si>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</si>
  <si>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</si>
  <si>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</si>
  <si>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</si>
  <si>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</si>
  <si>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</si>
  <si>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</si>
  <si>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</si>
  <si>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</si>
  <si>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</si>
  <si>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</si>
  <si>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</si>
  <si>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</si>
  <si>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</si>
  <si>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</si>
  <si>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</si>
  <si>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</si>
  <si>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</si>
  <si>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</si>
  <si>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</si>
  <si>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</si>
  <si>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</si>
  <si>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</si>
  <si>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</si>
  <si>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</si>
  <si>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</si>
  <si>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</si>
  <si>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</si>
  <si>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</si>
  <si>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</si>
  <si>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</si>
  <si>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</si>
  <si>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</si>
  <si>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</si>
  <si>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</si>
  <si>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</si>
  <si>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</si>
  <si>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</si>
  <si>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</si>
  <si>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</si>
  <si>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</si>
  <si>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</si>
  <si>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</si>
  <si>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</si>
  <si>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</si>
  <si>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</si>
  <si>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</si>
  <si>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</si>
  <si>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</si>
  <si>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</si>
  <si>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</si>
  <si>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</si>
  <si>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</si>
  <si>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</si>
  <si>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</si>
  <si>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</si>
  <si>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</si>
  <si>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</si>
  <si>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</si>
  <si>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</si>
  <si>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</si>
  <si>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</si>
  <si>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</si>
  <si>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</si>
  <si>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</si>
  <si>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</si>
  <si>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</si>
  <si>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</si>
  <si>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</si>
  <si>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</si>
  <si>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</si>
  <si>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</si>
  <si>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</si>
  <si>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</si>
  <si>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</si>
  <si>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</si>
  <si>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</si>
  <si>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</si>
  <si>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</si>
  <si>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</si>
  <si>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</si>
  <si>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</si>
  <si>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</si>
  <si>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</si>
  <si>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</si>
  <si>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</si>
  <si>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</si>
  <si>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</si>
  <si>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</si>
  <si>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</si>
  <si>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</si>
  <si>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</si>
  <si>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</si>
  <si>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</si>
  <si>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</si>
  <si>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</si>
  <si>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</si>
  <si>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</si>
  <si>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</si>
  <si>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</si>
  <si>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</si>
  <si>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</si>
  <si>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</si>
  <si>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</si>
  <si>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</si>
  <si>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</si>
  <si>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</si>
  <si>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</si>
  <si>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</si>
  <si>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</si>
  <si>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</si>
  <si>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</si>
  <si>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</si>
  <si>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</si>
  <si>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</si>
  <si>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</si>
  <si>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</si>
  <si>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</si>
  <si>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</si>
  <si>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</si>
  <si>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</si>
  <si>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</si>
  <si>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</si>
  <si>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</si>
  <si>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</si>
  <si>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</si>
  <si>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</si>
  <si>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</si>
  <si>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</si>
  <si>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</si>
  <si>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</si>
  <si>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</si>
  <si>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</si>
  <si>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</si>
  <si>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</si>
  <si>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</si>
  <si>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</si>
  <si>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</si>
  <si>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</si>
  <si>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</si>
  <si>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</si>
  <si>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</si>
  <si>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</si>
  <si>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</si>
  <si>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</si>
  <si>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</si>
  <si>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</si>
  <si>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</si>
  <si>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</si>
  <si>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</si>
  <si>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</si>
  <si>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</si>
  <si>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</si>
  <si>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</si>
  <si>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</si>
  <si>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</si>
  <si>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</si>
  <si>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</si>
  <si>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</si>
  <si>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</si>
  <si>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</si>
  <si>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</si>
  <si>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</si>
  <si>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</si>
  <si>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</si>
  <si>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</si>
  <si>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</si>
  <si>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</si>
  <si>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</si>
  <si>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</si>
  <si>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</si>
  <si>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</si>
  <si>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</si>
  <si>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</si>
  <si>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</si>
  <si>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</si>
  <si>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</si>
  <si>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</si>
  <si>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</si>
  <si>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</si>
  <si>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</si>
  <si>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</si>
  <si>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</si>
  <si>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</si>
  <si>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</si>
  <si>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</si>
  <si>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</si>
  <si>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</si>
  <si>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</si>
  <si>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</si>
  <si>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</si>
  <si>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</si>
  <si>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</si>
  <si>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</si>
  <si>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</si>
  <si>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</si>
  <si>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</si>
  <si>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</si>
  <si>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</si>
  <si>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</si>
  <si>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</si>
  <si>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</si>
  <si>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</si>
  <si>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</si>
  <si>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</si>
  <si>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</si>
  <si>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</si>
  <si>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</si>
  <si>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</si>
  <si>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</si>
  <si>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</si>
  <si>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</si>
  <si>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</si>
  <si>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</si>
  <si>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</si>
  <si>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</si>
  <si>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</si>
  <si>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</si>
  <si>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</si>
  <si>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</si>
  <si>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</si>
  <si>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</si>
  <si>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</si>
  <si>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</si>
  <si>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</si>
  <si>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</si>
  <si>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</si>
  <si>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</si>
  <si>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</si>
  <si>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</si>
  <si>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</si>
  <si>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</si>
  <si>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</si>
  <si>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</si>
  <si>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</si>
  <si>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</si>
  <si>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</si>
  <si>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</si>
  <si>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</si>
  <si>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</si>
  <si>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</si>
  <si>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</si>
  <si>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</si>
  <si>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</si>
  <si>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</si>
  <si>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</si>
  <si>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</si>
  <si>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</si>
  <si>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</si>
  <si>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</si>
  <si>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</si>
  <si>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</si>
  <si>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</si>
  <si>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</si>
  <si>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</si>
  <si>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</si>
  <si>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</si>
  <si>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</si>
  <si>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</si>
  <si>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</si>
  <si>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</si>
  <si>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</si>
  <si>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</si>
  <si>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</si>
  <si>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</si>
  <si>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</si>
  <si>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</si>
  <si>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</si>
  <si>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</si>
  <si>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</si>
  <si>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</si>
  <si>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</si>
  <si>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</si>
  <si>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</si>
  <si>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</si>
  <si>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</si>
  <si>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</si>
  <si>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</si>
  <si>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</si>
  <si>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</si>
  <si>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</si>
  <si>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</si>
  <si>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</si>
  <si>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</si>
  <si>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</si>
  <si>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</si>
  <si>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</si>
  <si>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</si>
  <si>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</si>
  <si>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</si>
  <si>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</si>
  <si>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</si>
  <si>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</si>
  <si>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</si>
  <si>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</si>
  <si>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</si>
  <si>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</si>
  <si>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</si>
  <si>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</si>
  <si>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</si>
  <si>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</si>
  <si>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</si>
  <si>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</si>
  <si>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</si>
  <si>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</si>
  <si>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</si>
  <si>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</si>
  <si>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</si>
  <si>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</si>
  <si>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</si>
  <si>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</si>
  <si>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</si>
  <si>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</si>
  <si>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</si>
  <si>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</si>
  <si>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</si>
  <si>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</si>
  <si>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</si>
  <si>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</si>
  <si>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</si>
  <si>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</si>
  <si>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</si>
  <si>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</si>
  <si>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</si>
  <si>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</si>
  <si>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</si>
  <si>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</si>
  <si>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</si>
  <si>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</si>
  <si>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</si>
  <si>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</si>
  <si>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</si>
  <si>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</si>
  <si>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</si>
  <si>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</si>
  <si>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</si>
  <si>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</si>
  <si>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</si>
  <si>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</si>
  <si>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</si>
  <si>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</si>
  <si>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</si>
  <si>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</si>
  <si>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</si>
  <si>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</si>
  <si>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</si>
  <si>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</si>
  <si>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</si>
  <si>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</si>
  <si>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</si>
  <si>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</si>
  <si>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</si>
  <si>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</si>
  <si>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</si>
  <si>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</si>
  <si>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</si>
  <si>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</si>
  <si>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</si>
  <si>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</si>
  <si>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</si>
  <si>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</si>
  <si>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</si>
  <si>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</si>
  <si>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</si>
  <si>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</si>
  <si>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</si>
  <si>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</si>
  <si>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</si>
  <si>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</si>
  <si>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</si>
  <si>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</si>
  <si>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</si>
  <si>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</si>
  <si>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</si>
  <si>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</si>
  <si>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</si>
  <si>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</si>
  <si>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</si>
  <si>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</si>
  <si>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</si>
  <si>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</si>
  <si>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</si>
  <si>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</si>
  <si>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</si>
  <si>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</si>
  <si>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</si>
  <si>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</si>
  <si>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</si>
  <si>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</si>
  <si>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</si>
  <si>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</si>
  <si>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</si>
  <si>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</si>
  <si>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</si>
  <si>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</si>
  <si>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</si>
  <si>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</si>
  <si>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</si>
  <si>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</si>
  <si>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</si>
  <si>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</si>
  <si>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</si>
  <si>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</si>
  <si>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</si>
  <si>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</si>
  <si>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</si>
  <si>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</si>
  <si>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</si>
  <si>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</si>
  <si>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</si>
  <si>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</si>
  <si>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</si>
  <si>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</si>
  <si>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</si>
  <si>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</si>
  <si>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</si>
  <si>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</si>
  <si>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</si>
  <si>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</si>
  <si>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</si>
  <si>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</si>
  <si>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</si>
  <si>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</si>
  <si>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</si>
  <si>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</si>
  <si>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</si>
  <si>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</si>
  <si>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</si>
  <si>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</si>
  <si>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</si>
  <si>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</si>
  <si>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</si>
  <si>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</si>
  <si>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</si>
  <si>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</si>
  <si>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</si>
  <si>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</si>
  <si>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</si>
  <si>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</si>
  <si>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</si>
  <si>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</si>
  <si>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</si>
  <si>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</si>
  <si>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</si>
  <si>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</si>
  <si>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</si>
  <si>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</si>
  <si>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</si>
  <si>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</si>
  <si>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</si>
  <si>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</si>
  <si>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</si>
  <si>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</si>
  <si>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</si>
  <si>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</si>
  <si>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</si>
  <si>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</si>
  <si>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</si>
  <si>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</si>
  <si>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</si>
  <si>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</si>
  <si>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</si>
  <si>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</si>
  <si>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</si>
  <si>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</si>
  <si>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</si>
  <si>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</si>
  <si>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</si>
  <si>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</si>
  <si>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</si>
  <si>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</si>
  <si>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</si>
  <si>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</si>
  <si>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</si>
  <si>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</si>
  <si>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</si>
  <si>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</si>
  <si>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</si>
  <si>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</si>
  <si>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</si>
  <si>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</si>
  <si>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</si>
  <si>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</si>
  <si>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</si>
  <si>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</si>
  <si>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</si>
  <si>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</si>
  <si>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</si>
  <si>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</si>
  <si>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</si>
  <si>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</si>
  <si>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</si>
  <si>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</si>
  <si>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</si>
  <si>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</si>
  <si>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</si>
  <si>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</si>
  <si>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</si>
  <si>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</si>
  <si>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</si>
  <si>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</si>
  <si>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</si>
  <si>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</si>
  <si>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</si>
  <si>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</si>
  <si>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</si>
  <si>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</si>
  <si>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</si>
  <si>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</si>
  <si>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</si>
  <si>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</si>
  <si>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</si>
  <si>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</si>
  <si>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</si>
  <si>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</si>
  <si>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</si>
  <si>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</si>
  <si>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</si>
  <si>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</si>
  <si>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</si>
  <si>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</si>
  <si>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</si>
  <si>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</si>
  <si>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</si>
  <si>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</si>
  <si>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</si>
  <si>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</si>
  <si>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</si>
  <si>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</si>
  <si>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</si>
  <si>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</si>
  <si>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</si>
  <si>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</si>
  <si>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</si>
  <si>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</si>
  <si>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</si>
  <si>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</si>
  <si>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</si>
  <si>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</si>
  <si>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</si>
  <si>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</si>
  <si>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</si>
  <si>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</si>
  <si>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</si>
  <si>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</si>
  <si>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</si>
  <si>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</si>
  <si>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</si>
  <si>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</si>
  <si>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</si>
  <si>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</si>
  <si>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</si>
  <si>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</si>
  <si>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</si>
  <si>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</si>
  <si>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</si>
  <si>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</si>
  <si>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</si>
  <si>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</si>
  <si>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</si>
  <si>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</si>
  <si>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</si>
  <si>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</si>
  <si>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</si>
  <si>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</si>
  <si>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</si>
  <si>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</si>
  <si>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</si>
  <si>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</si>
  <si>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</si>
  <si>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</si>
  <si>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</si>
  <si>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</si>
  <si>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</si>
  <si>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</si>
  <si>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</si>
  <si>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</si>
  <si>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</si>
  <si>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</si>
  <si>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</si>
  <si>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</si>
  <si>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</si>
  <si>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</si>
  <si>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</si>
  <si>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</si>
  <si>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</si>
  <si>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</si>
  <si>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</si>
  <si>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</si>
  <si>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</si>
  <si>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</si>
  <si>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</si>
  <si>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</si>
  <si>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</si>
  <si>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</si>
  <si>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</si>
  <si>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</si>
  <si>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</si>
  <si>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</si>
  <si>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</si>
  <si>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</si>
  <si>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</si>
  <si>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</si>
  <si>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</si>
  <si>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</si>
  <si>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</si>
  <si>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</si>
  <si>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</si>
  <si>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</si>
  <si>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</si>
  <si>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</si>
  <si>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</si>
  <si>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</si>
  <si>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</si>
  <si>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</si>
  <si>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</si>
  <si>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</si>
  <si>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</si>
  <si>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</si>
  <si>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</si>
  <si>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</si>
  <si>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</si>
  <si>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</si>
  <si>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</si>
  <si>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</si>
  <si>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</si>
  <si>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</si>
  <si>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</si>
  <si>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</si>
  <si>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</si>
  <si>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</si>
  <si>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</si>
  <si>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</si>
  <si>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</si>
  <si>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</si>
  <si>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</si>
  <si>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</si>
  <si>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</si>
  <si>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</si>
  <si>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</si>
  <si>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</si>
  <si>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</si>
  <si>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</si>
  <si>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</si>
  <si>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</si>
  <si>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</si>
  <si>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</si>
  <si>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</si>
  <si>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</si>
  <si>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</si>
  <si>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</si>
  <si>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</si>
  <si>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</si>
  <si>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</si>
  <si>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</si>
  <si>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</si>
  <si>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</si>
  <si>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</si>
  <si>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</si>
  <si>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</si>
  <si>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</si>
  <si>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</si>
  <si>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</si>
  <si>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</si>
  <si>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</si>
  <si>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</si>
  <si>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</si>
  <si>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</si>
  <si>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</si>
  <si>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</si>
  <si>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</si>
  <si>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</si>
  <si>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</si>
  <si>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</si>
  <si>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</si>
  <si>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</si>
  <si>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</si>
  <si>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</si>
  <si>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</si>
  <si>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</si>
  <si>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</si>
  <si>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</si>
  <si>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</si>
  <si>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</si>
  <si>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</si>
  <si>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</si>
  <si>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</si>
  <si>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</si>
  <si>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</si>
  <si>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</si>
  <si>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</si>
  <si>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</si>
  <si>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</si>
  <si>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</si>
  <si>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</si>
  <si>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</si>
  <si>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</si>
  <si>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</si>
  <si>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</si>
  <si>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</si>
  <si>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</si>
  <si>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</si>
  <si>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</si>
  <si>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</si>
  <si>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</si>
  <si>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</si>
  <si>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</si>
  <si>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</si>
  <si>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</si>
  <si>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</si>
  <si>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</si>
  <si>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</si>
  <si>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</si>
  <si>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</si>
  <si>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</si>
  <si>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</si>
  <si>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</si>
  <si>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</si>
  <si>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</si>
  <si>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</si>
  <si>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</si>
  <si>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</si>
  <si>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</si>
  <si>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</si>
  <si>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</si>
  <si>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</si>
  <si>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</si>
  <si>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</si>
  <si>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</si>
  <si>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</si>
  <si>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</si>
  <si>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</si>
  <si>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</si>
  <si>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</si>
  <si>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</si>
  <si>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</si>
  <si>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</si>
  <si>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</si>
  <si>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</si>
  <si>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</si>
  <si>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</si>
  <si>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</si>
  <si>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</si>
  <si>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</si>
  <si>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</si>
  <si>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</si>
  <si>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</si>
  <si>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</si>
  <si>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</si>
  <si>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</si>
  <si>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</si>
  <si>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</si>
  <si>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</si>
  <si>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</si>
  <si>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</si>
  <si>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</si>
  <si>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</si>
  <si>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</si>
  <si>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</si>
  <si>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</si>
  <si>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</si>
  <si>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</si>
  <si>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</si>
  <si>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</si>
  <si>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</si>
  <si>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</si>
  <si>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</si>
  <si>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</si>
  <si>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</si>
  <si>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</si>
  <si>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</si>
  <si>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</si>
  <si>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</si>
  <si>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</si>
  <si>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</si>
  <si>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</si>
  <si>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</si>
  <si>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</si>
  <si>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</si>
  <si>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</si>
  <si>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</si>
  <si>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</si>
  <si>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</si>
  <si>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</si>
  <si>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</si>
  <si>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</si>
  <si>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</si>
  <si>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</si>
  <si>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</si>
  <si>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</si>
  <si>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</si>
  <si>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</si>
  <si>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</si>
  <si>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</si>
  <si>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</si>
  <si>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</si>
  <si>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</si>
  <si>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</si>
  <si>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</si>
  <si>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</si>
  <si>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</si>
  <si>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</si>
  <si>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</si>
  <si>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</si>
  <si>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</si>
  <si>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</si>
  <si>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</si>
  <si>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</si>
  <si>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</si>
  <si>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</si>
  <si>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</si>
  <si>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</si>
  <si>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</si>
  <si>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</si>
  <si>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</si>
  <si>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</si>
  <si>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</si>
  <si>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</si>
  <si>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</si>
  <si>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</si>
  <si>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</si>
  <si>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</si>
  <si>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</si>
  <si>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</si>
  <si>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</si>
  <si>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</si>
  <si>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</si>
  <si>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</si>
  <si>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</si>
  <si>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</si>
  <si>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</si>
  <si>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</si>
  <si>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</si>
  <si>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</si>
  <si>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</si>
  <si>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</si>
  <si>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</si>
  <si>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</si>
  <si>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</si>
  <si>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</si>
  <si>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</si>
  <si>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</si>
  <si>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</si>
  <si>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</si>
  <si>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</si>
  <si>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</si>
  <si>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</si>
  <si>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</si>
  <si>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</si>
  <si>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</si>
  <si>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</si>
  <si>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</si>
  <si>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</si>
  <si>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</si>
  <si>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</si>
  <si>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</si>
  <si>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</si>
  <si>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</si>
  <si>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</si>
  <si>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</si>
  <si>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</si>
  <si>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</si>
  <si>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</si>
  <si>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</si>
  <si>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</si>
  <si>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</si>
  <si>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</si>
  <si>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</si>
  <si>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</si>
  <si>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</si>
  <si>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</si>
  <si>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</si>
  <si>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</si>
  <si>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</si>
  <si>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</si>
  <si>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</si>
  <si>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</si>
  <si>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</si>
  <si>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</si>
  <si>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</si>
  <si>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</si>
  <si>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</si>
  <si>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</si>
  <si>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</si>
  <si>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</si>
  <si>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</si>
  <si>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</si>
  <si>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</si>
  <si>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</si>
  <si>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</si>
  <si>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</si>
  <si>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</si>
  <si>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</si>
  <si>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</si>
  <si>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</si>
  <si>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</si>
  <si>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</si>
  <si>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</si>
  <si>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</si>
  <si>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</si>
  <si>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</si>
  <si>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</si>
  <si>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</si>
  <si>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</si>
  <si>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</si>
  <si>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</si>
  <si>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</si>
  <si>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</si>
  <si>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</si>
  <si>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</si>
  <si>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</si>
  <si>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</si>
  <si>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</si>
  <si>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</si>
  <si>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</si>
  <si>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</si>
  <si>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</si>
  <si>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</si>
  <si>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</si>
  <si>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</si>
  <si>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</si>
  <si>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</si>
  <si>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</si>
  <si>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</si>
  <si>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</si>
  <si>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</si>
  <si>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</si>
  <si>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</si>
  <si>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</si>
  <si>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</si>
  <si>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</si>
  <si>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</si>
  <si>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</si>
  <si>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</si>
  <si>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</si>
  <si>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</si>
  <si>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</si>
  <si>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</si>
  <si>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</si>
  <si>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</si>
  <si>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</si>
  <si>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</si>
  <si>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</si>
  <si>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</si>
  <si>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</si>
  <si>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</si>
  <si>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</si>
  <si>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</si>
  <si>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</si>
  <si>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</si>
  <si>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</si>
  <si>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</si>
  <si>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</si>
  <si>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</si>
  <si>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</si>
  <si>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</si>
  <si>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</si>
  <si>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</si>
  <si>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</si>
  <si>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</si>
  <si>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</si>
  <si>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</si>
  <si>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</si>
  <si>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</si>
  <si>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</si>
  <si>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</si>
  <si>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</si>
  <si>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</si>
  <si>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</si>
  <si>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</si>
  <si>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</si>
  <si>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</si>
  <si>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</si>
  <si>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</si>
  <si>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</si>
  <si>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</si>
  <si>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</si>
  <si>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</si>
  <si>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</si>
  <si>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</si>
  <si>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</si>
  <si>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</si>
  <si>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</si>
  <si>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</si>
  <si>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</si>
  <si>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</si>
  <si>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</si>
  <si>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</si>
  <si>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</si>
  <si>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</si>
  <si>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</si>
  <si>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</si>
  <si>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</si>
  <si>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</si>
  <si>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</si>
  <si>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</si>
  <si>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</si>
  <si>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</si>
  <si>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</si>
  <si>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</si>
  <si>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</si>
  <si>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</si>
  <si>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</si>
  <si>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</si>
  <si>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</si>
  <si>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</si>
  <si>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</si>
  <si>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</si>
  <si>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</si>
  <si>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</si>
  <si>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</si>
  <si>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</si>
  <si>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</si>
  <si>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</si>
  <si>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</si>
  <si>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</si>
  <si>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</si>
  <si>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</si>
  <si>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</si>
  <si>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</si>
  <si>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</si>
  <si>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</si>
  <si>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</si>
  <si>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</si>
  <si>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</si>
  <si>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</si>
  <si>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</si>
  <si>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</si>
  <si>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</si>
  <si>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</si>
  <si>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</si>
  <si>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</si>
  <si>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</si>
  <si>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</si>
  <si>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</si>
  <si>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</si>
  <si>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</si>
  <si>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</si>
  <si>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</si>
  <si>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</si>
  <si>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</si>
  <si>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</si>
  <si>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</si>
  <si>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</si>
  <si>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</si>
  <si>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</si>
  <si>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</si>
  <si>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</si>
  <si>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</si>
  <si>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</si>
  <si>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</si>
  <si>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</si>
  <si>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</si>
  <si>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</si>
  <si>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</si>
  <si>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</si>
  <si>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</si>
  <si>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</si>
  <si>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</si>
  <si>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</si>
  <si>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</si>
  <si>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</si>
  <si>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</si>
  <si>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</si>
  <si>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</si>
  <si>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</si>
  <si>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</si>
  <si>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</si>
  <si>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</si>
  <si>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</si>
  <si>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</si>
  <si>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</si>
  <si>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</si>
  <si>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</si>
  <si>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</si>
  <si>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</si>
  <si>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</si>
  <si>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</si>
  <si>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</si>
  <si>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</si>
  <si>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</si>
  <si>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</si>
  <si>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</si>
  <si>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</si>
  <si>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</si>
  <si>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</si>
  <si>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</si>
  <si>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</si>
  <si>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</si>
  <si>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</si>
  <si>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</si>
  <si>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</si>
  <si>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</si>
  <si>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</si>
  <si>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</si>
  <si>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</si>
  <si>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</si>
  <si>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</si>
  <si>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</si>
  <si>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</si>
  <si>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</si>
  <si>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</si>
  <si>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</si>
  <si>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</si>
  <si>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</si>
  <si>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</si>
  <si>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</si>
  <si>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</si>
  <si>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</si>
  <si>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</si>
  <si>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</si>
  <si>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</si>
  <si>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</si>
  <si>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</si>
  <si>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</si>
  <si>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</si>
  <si>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</si>
  <si>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</si>
  <si>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</si>
  <si>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</si>
  <si>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</si>
  <si>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</si>
  <si>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</si>
  <si>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</si>
  <si>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</si>
  <si>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</si>
  <si>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</si>
  <si>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</si>
  <si>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</si>
  <si>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</si>
  <si>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</si>
  <si>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</si>
  <si>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</si>
  <si>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</si>
  <si>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</si>
  <si>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</si>
  <si>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</si>
  <si>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</si>
  <si>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</si>
  <si>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</si>
  <si>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</si>
  <si>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</si>
  <si>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</si>
  <si>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</si>
  <si>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</si>
  <si>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</si>
  <si>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</si>
  <si>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</si>
  <si>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</si>
  <si>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</si>
  <si>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</si>
  <si>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</si>
  <si>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</si>
  <si>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</si>
  <si>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</si>
  <si>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</si>
  <si>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</si>
  <si>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</si>
  <si>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</si>
  <si>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</si>
  <si>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</si>
  <si>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</si>
  <si>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</si>
  <si>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</si>
  <si>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</si>
  <si>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</si>
  <si>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</si>
  <si>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</si>
  <si>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</si>
  <si>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</si>
  <si>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</si>
  <si>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</si>
  <si>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</si>
  <si>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</si>
  <si>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</si>
  <si>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</si>
  <si>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</si>
  <si>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</si>
  <si>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</si>
  <si>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</si>
  <si>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</si>
  <si>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</si>
  <si>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</si>
  <si>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</si>
  <si>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</si>
  <si>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</si>
  <si>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</si>
  <si>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</si>
  <si>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</si>
  <si>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</si>
  <si>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</si>
  <si>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</si>
  <si>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</si>
  <si>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</si>
  <si>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</si>
  <si>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</si>
  <si>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</si>
  <si>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</si>
  <si>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</si>
  <si>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</si>
  <si>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</si>
  <si>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</si>
  <si>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</si>
  <si>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</si>
  <si>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</si>
  <si>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</si>
  <si>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</si>
  <si>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</si>
  <si>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</si>
  <si>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</si>
  <si>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</si>
  <si>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</si>
  <si>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</si>
  <si>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</si>
  <si>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</si>
  <si>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</si>
  <si>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</si>
  <si>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</si>
  <si>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</si>
  <si>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</si>
  <si>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</si>
  <si>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</si>
  <si>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</si>
  <si>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</si>
  <si>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</si>
  <si>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</si>
  <si>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</si>
  <si>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</si>
  <si>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</si>
  <si>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</si>
  <si>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</si>
  <si>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</si>
  <si>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</si>
  <si>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</si>
  <si>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</si>
  <si>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</si>
  <si>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</si>
  <si>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</si>
  <si>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</si>
  <si>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</si>
  <si>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</si>
  <si>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</si>
  <si>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</si>
  <si>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</si>
  <si>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</si>
  <si>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</si>
  <si>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</si>
  <si>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</si>
  <si>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</si>
  <si>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</si>
  <si>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</si>
  <si>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</si>
  <si>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</si>
  <si>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</si>
  <si>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</si>
  <si>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</si>
  <si>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</si>
  <si>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</si>
  <si>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</si>
  <si>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</si>
  <si>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</si>
  <si>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</si>
  <si>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</si>
  <si>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</si>
  <si>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</si>
  <si>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</si>
  <si>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</si>
  <si>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</si>
  <si>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</si>
  <si>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</si>
  <si>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</si>
  <si>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</si>
  <si>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</si>
  <si>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</si>
  <si>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</si>
  <si>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</si>
  <si>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</si>
  <si>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</si>
  <si>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</si>
  <si>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</si>
  <si>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</si>
  <si>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</si>
  <si>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</si>
  <si>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</si>
  <si>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</si>
  <si>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</si>
  <si>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</si>
  <si>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</si>
  <si>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</si>
  <si>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</si>
  <si>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</si>
  <si>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</si>
  <si>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</si>
  <si>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</si>
  <si>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</si>
  <si>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</si>
  <si>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</si>
  <si>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</si>
  <si>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</si>
  <si>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</si>
  <si>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</si>
  <si>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</si>
  <si>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</si>
  <si>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</si>
  <si>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</si>
  <si>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</si>
  <si>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</si>
  <si>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</si>
  <si>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</si>
  <si>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</si>
  <si>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</si>
  <si>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</si>
  <si>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</si>
  <si>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</si>
  <si>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</si>
  <si>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</si>
  <si>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</si>
  <si>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</si>
  <si>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</si>
  <si>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</si>
  <si>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</si>
  <si>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</si>
  <si>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</si>
  <si>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</si>
  <si>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</si>
  <si>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</si>
  <si>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</si>
  <si>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</si>
  <si>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</si>
  <si>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</si>
  <si>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</si>
  <si>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</si>
  <si>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</si>
  <si>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</si>
  <si>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</si>
  <si>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</si>
  <si>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</si>
  <si>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</si>
  <si>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</si>
  <si>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</si>
  <si>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</si>
  <si>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</si>
  <si>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</si>
  <si>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</si>
  <si>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</si>
  <si>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</si>
  <si>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</si>
  <si>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</si>
  <si>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</si>
  <si>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</si>
  <si>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</si>
  <si>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</si>
  <si>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</si>
  <si>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</si>
  <si>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</si>
  <si>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</si>
  <si>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</si>
  <si>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</si>
  <si>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</si>
  <si>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</si>
  <si>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</si>
  <si>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</si>
  <si>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</si>
  <si>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</si>
  <si>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</si>
  <si>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</si>
  <si>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</si>
  <si>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</si>
  <si>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</si>
  <si>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</si>
  <si>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</si>
  <si>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</si>
  <si>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</si>
  <si>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</si>
  <si>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</si>
  <si>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</si>
  <si>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</si>
  <si>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</si>
  <si>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</si>
  <si>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</si>
  <si>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</si>
  <si>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</si>
  <si>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</si>
  <si>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</si>
  <si>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</si>
  <si>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</si>
  <si>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</si>
  <si>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</si>
  <si>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</si>
  <si>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</si>
  <si>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</si>
  <si>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</si>
  <si>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</si>
  <si>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</si>
  <si>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</si>
  <si>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</si>
  <si>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</si>
  <si>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</si>
  <si>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</si>
  <si>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</si>
  <si>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</si>
  <si>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</si>
  <si>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</si>
  <si>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</si>
  <si>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</si>
  <si>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</si>
  <si>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</si>
  <si>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</si>
  <si>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</si>
  <si>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</si>
  <si>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</si>
  <si>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</si>
  <si>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</si>
  <si>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</si>
  <si>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</si>
  <si>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</si>
  <si>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</si>
  <si>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</si>
  <si>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</si>
  <si>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</si>
  <si>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</si>
  <si>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</si>
  <si>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</si>
  <si>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</si>
  <si>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</si>
  <si>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</si>
  <si>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</si>
  <si>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</si>
  <si>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</si>
  <si>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</si>
  <si>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</si>
  <si>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</si>
  <si>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</si>
  <si>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</si>
  <si>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</si>
  <si>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</si>
  <si>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</si>
  <si>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</si>
  <si>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</si>
  <si>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</si>
  <si>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</si>
  <si>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</si>
  <si>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</si>
  <si>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</si>
  <si>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</si>
  <si>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</si>
  <si>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</si>
  <si>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</si>
  <si>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</si>
  <si>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</si>
  <si>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</si>
  <si>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</si>
  <si>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</si>
  <si>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</si>
  <si>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</si>
  <si>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</si>
  <si>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</si>
  <si>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</si>
  <si>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</si>
  <si>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</si>
  <si>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</si>
  <si>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</si>
  <si>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</si>
  <si>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</si>
  <si>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</si>
  <si>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</si>
  <si>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</si>
  <si>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</si>
  <si>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</si>
  <si>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</si>
  <si>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</si>
  <si>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</si>
  <si>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</si>
  <si>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</si>
  <si>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</si>
  <si>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</si>
  <si>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</si>
  <si>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</si>
  <si>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</si>
  <si>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</si>
  <si>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</si>
  <si>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</si>
  <si>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</si>
  <si>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</si>
  <si>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</si>
  <si>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</si>
  <si>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</si>
  <si>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</si>
  <si>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</si>
  <si>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</si>
  <si>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</si>
  <si>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</si>
  <si>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</si>
  <si>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</si>
  <si>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</si>
  <si>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</si>
  <si>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</si>
  <si>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</si>
  <si>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</si>
  <si>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</si>
  <si>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</si>
  <si>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</si>
  <si>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</si>
  <si>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</si>
  <si>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</si>
  <si>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</si>
  <si>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</si>
  <si>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</si>
  <si>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</si>
  <si>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</si>
  <si>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</si>
  <si>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</si>
  <si>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</si>
  <si>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</si>
  <si>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</si>
  <si>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</si>
  <si>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</si>
  <si>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</si>
  <si>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</si>
  <si>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</si>
  <si>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</si>
  <si>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</si>
  <si>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</si>
  <si>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</si>
  <si>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</si>
  <si>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</si>
  <si>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</si>
  <si>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</si>
  <si>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</si>
  <si>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</si>
  <si>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</si>
  <si>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</si>
  <si>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</si>
  <si>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</si>
  <si>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</si>
  <si>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</si>
  <si>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</si>
  <si>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</si>
  <si>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</si>
  <si>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</si>
  <si>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</si>
  <si>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</si>
  <si>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</si>
  <si>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</si>
  <si>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</si>
  <si>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</si>
  <si>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</si>
  <si>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</si>
  <si>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</si>
  <si>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</si>
  <si>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</si>
  <si>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</si>
  <si>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</si>
  <si>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</si>
  <si>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</si>
  <si>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</si>
  <si>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</si>
  <si>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</si>
  <si>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</si>
  <si>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</si>
  <si>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</si>
  <si>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</si>
  <si>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</si>
  <si>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</si>
  <si>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</si>
  <si>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</si>
  <si>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</si>
  <si>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</si>
  <si>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</si>
  <si>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</si>
  <si>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</si>
  <si>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</si>
  <si>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</si>
  <si>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</si>
  <si>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</si>
  <si>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</si>
  <si>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</si>
  <si>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</si>
  <si>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</si>
  <si>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</si>
  <si>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</si>
  <si>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</si>
  <si>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</si>
  <si>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</si>
  <si>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</si>
  <si>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</si>
  <si>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</si>
  <si>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</si>
  <si>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</si>
  <si>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</si>
  <si>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</si>
  <si>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</si>
  <si>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</si>
  <si>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</si>
  <si>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</si>
  <si>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</si>
  <si>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</si>
  <si>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</si>
  <si>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</si>
  <si>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</si>
  <si>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</si>
  <si>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</si>
  <si>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</si>
  <si>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</si>
  <si>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</si>
  <si>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</si>
  <si>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</si>
  <si>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</si>
  <si>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</si>
  <si>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</si>
  <si>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</si>
  <si>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</si>
  <si>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</si>
  <si>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</si>
  <si>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</si>
  <si>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</si>
  <si>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</si>
  <si>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</si>
  <si>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</si>
  <si>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</si>
  <si>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</si>
  <si>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</si>
  <si>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</si>
  <si>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</si>
  <si>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</si>
  <si>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</si>
  <si>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</si>
  <si>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</si>
  <si>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</si>
  <si>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</si>
  <si>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</si>
  <si>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</si>
  <si>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</si>
  <si>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</si>
  <si>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</si>
  <si>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</si>
  <si>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</si>
  <si>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</si>
  <si>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</si>
  <si>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</si>
  <si>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</si>
  <si>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</si>
  <si>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</si>
  <si>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</si>
  <si>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</si>
  <si>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</si>
  <si>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</si>
  <si>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</si>
  <si>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</si>
  <si>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</si>
  <si>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</si>
  <si>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</si>
  <si>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</si>
  <si>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</si>
  <si>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</si>
  <si>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</si>
  <si>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</si>
  <si>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</si>
  <si>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</si>
  <si>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</si>
  <si>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</si>
  <si>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</si>
  <si>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</si>
  <si>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</si>
  <si>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</si>
  <si>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</si>
  <si>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</si>
  <si>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</si>
  <si>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</si>
  <si>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</si>
  <si>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</si>
  <si>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</si>
  <si>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</si>
  <si>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</si>
  <si>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</si>
  <si>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</si>
  <si>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</si>
  <si>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</si>
  <si>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</si>
  <si>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</si>
  <si>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</si>
  <si>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</si>
  <si>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</si>
  <si>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</si>
  <si>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</si>
  <si>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</si>
  <si>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</si>
  <si>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</si>
  <si>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</si>
  <si>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</si>
  <si>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</si>
  <si>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</si>
  <si>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</si>
  <si>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</si>
  <si>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</si>
  <si>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</si>
  <si>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</si>
  <si>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</si>
  <si>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</si>
  <si>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</si>
  <si>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</si>
  <si>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</si>
  <si>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</si>
  <si>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</si>
  <si>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</si>
  <si>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</si>
  <si>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</si>
  <si>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</si>
  <si>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</si>
  <si>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</si>
  <si>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</si>
  <si>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</si>
  <si>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</si>
  <si>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</si>
  <si>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</si>
  <si>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</si>
  <si>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</si>
  <si>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</si>
  <si>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</si>
  <si>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</si>
  <si>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</si>
  <si>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</si>
  <si>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</si>
  <si>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</si>
  <si>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</si>
  <si>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</si>
  <si>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</si>
  <si>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</si>
  <si>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</si>
  <si>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</si>
  <si>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</si>
  <si>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</si>
  <si>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</si>
  <si>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</si>
  <si>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</si>
  <si>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</si>
  <si>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</si>
  <si>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</si>
  <si>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</si>
  <si>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</si>
  <si>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</si>
  <si>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</si>
  <si>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</si>
  <si>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</si>
  <si>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</si>
  <si>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</si>
  <si>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</si>
  <si>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</si>
  <si>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</si>
  <si>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</si>
  <si>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</si>
  <si>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</si>
  <si>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</si>
  <si>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</si>
  <si>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</si>
  <si>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</si>
  <si>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</si>
  <si>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</si>
  <si>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</si>
  <si>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</si>
  <si>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</si>
  <si>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</si>
  <si>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</si>
  <si>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</si>
  <si>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</si>
  <si>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</si>
  <si>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</si>
  <si>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</si>
  <si>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</si>
  <si>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</si>
  <si>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</si>
  <si>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</si>
  <si>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</si>
  <si>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</si>
  <si>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</si>
  <si>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</si>
  <si>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</si>
  <si>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</si>
  <si>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</si>
  <si>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</si>
  <si>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</si>
  <si>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</si>
  <si>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</si>
  <si>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</si>
  <si>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</si>
  <si>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</si>
  <si>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</si>
  <si>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</si>
  <si>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</si>
  <si>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</si>
  <si>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</si>
  <si>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</si>
  <si>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</si>
  <si>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</si>
  <si>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</si>
  <si>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</si>
  <si>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</si>
  <si>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</si>
  <si>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</si>
  <si>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</si>
  <si>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</si>
  <si>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</si>
  <si>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</si>
  <si>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</si>
  <si>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</si>
  <si>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</si>
  <si>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</si>
  <si>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</si>
  <si>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</si>
  <si>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</si>
  <si>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</si>
  <si>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</si>
  <si>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</si>
  <si>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</si>
  <si>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</si>
  <si>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</si>
  <si>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</si>
  <si>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</si>
  <si>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</si>
  <si>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</si>
  <si>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</si>
  <si>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</si>
  <si>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</si>
  <si>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</si>
  <si>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</si>
  <si>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</si>
  <si>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</si>
  <si>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</si>
  <si>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</si>
  <si>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</si>
  <si>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</si>
  <si>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</si>
  <si>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</si>
  <si>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</si>
  <si>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</si>
  <si>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</si>
  <si>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</si>
  <si>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</si>
  <si>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</si>
  <si>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</si>
  <si>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</si>
  <si>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</si>
  <si>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</si>
  <si>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</si>
  <si>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</si>
  <si>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</si>
  <si>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</si>
  <si>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</si>
  <si>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</si>
  <si>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</si>
  <si>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</si>
  <si>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</si>
  <si>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</si>
  <si>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</si>
  <si>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</si>
  <si>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</si>
  <si>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</si>
  <si>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</si>
  <si>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</si>
  <si>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</si>
  <si>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</si>
  <si>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</si>
  <si>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</si>
  <si>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</si>
  <si>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</si>
  <si>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</si>
  <si>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</si>
  <si>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</si>
  <si>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</si>
  <si>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</si>
  <si>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</si>
  <si>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</si>
  <si>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</si>
  <si>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</si>
  <si>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</si>
  <si>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</si>
  <si>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</si>
  <si>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</si>
  <si>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</si>
  <si>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</si>
  <si>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</si>
  <si>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</si>
  <si>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</si>
  <si>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</si>
  <si>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</si>
  <si>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</si>
  <si>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</si>
  <si>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</si>
  <si>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</si>
  <si>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</si>
  <si>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</si>
  <si>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</si>
  <si>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</si>
  <si>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</si>
  <si>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</si>
  <si>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</si>
  <si>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</si>
  <si>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</si>
  <si>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</si>
  <si>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</si>
  <si>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</si>
  <si>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</si>
  <si>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</si>
  <si>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</si>
  <si>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</si>
  <si>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</si>
  <si>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</si>
  <si>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</si>
  <si>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</si>
  <si>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</si>
  <si>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</si>
  <si>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</si>
  <si>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</si>
  <si>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</si>
  <si>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</si>
  <si>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</si>
  <si>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</si>
  <si>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</si>
  <si>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</si>
  <si>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</si>
  <si>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</si>
  <si>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</si>
  <si>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</si>
  <si>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</si>
  <si>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</si>
  <si>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</si>
  <si>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</si>
  <si>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</si>
  <si>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</si>
  <si>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</si>
  <si>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</si>
  <si>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</si>
  <si>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</si>
  <si>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</si>
  <si>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</si>
  <si>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</si>
  <si>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</si>
  <si>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</si>
  <si>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</si>
  <si>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</si>
  <si>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</si>
  <si>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</si>
  <si>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</si>
  <si>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</si>
  <si>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</si>
  <si>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</si>
  <si>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</si>
  <si>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</si>
  <si>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</si>
  <si>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</si>
  <si>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</si>
  <si>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</si>
  <si>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</si>
  <si>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</si>
  <si>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</si>
  <si>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</si>
  <si>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</si>
  <si>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</si>
  <si>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</si>
  <si>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</si>
  <si>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</si>
  <si>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</si>
  <si>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</si>
  <si>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</si>
  <si>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</si>
  <si>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</si>
  <si>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</si>
  <si>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</si>
  <si>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</si>
  <si>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</si>
  <si>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</si>
  <si>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</si>
  <si>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</si>
  <si>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</si>
  <si>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</si>
  <si>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</si>
  <si>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</si>
  <si>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</si>
  <si>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</si>
  <si>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</si>
  <si>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</si>
  <si>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</si>
  <si>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</si>
  <si>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</si>
  <si>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</si>
  <si>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</si>
  <si>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</si>
  <si>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</si>
  <si>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</si>
  <si>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</si>
  <si>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</si>
  <si>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</si>
  <si>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</si>
  <si>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</si>
  <si>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</si>
  <si>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</si>
  <si>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</si>
  <si>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</si>
  <si>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</si>
  <si>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</si>
  <si>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</si>
  <si>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</si>
  <si>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</si>
  <si>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</si>
  <si>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</si>
  <si>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</si>
  <si>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</si>
  <si>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</si>
  <si>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</si>
  <si>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</si>
  <si>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</si>
  <si>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</si>
  <si>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</si>
  <si>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</si>
  <si>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</si>
  <si>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</si>
  <si>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</si>
  <si>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</si>
  <si>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</si>
  <si>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</si>
  <si>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</si>
  <si>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</si>
  <si>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</si>
  <si>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</si>
  <si>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</si>
  <si>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</si>
  <si>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</si>
  <si>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</si>
  <si>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</si>
  <si>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</si>
  <si>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</si>
  <si>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</si>
  <si>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</si>
  <si>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</si>
  <si>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</si>
  <si>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</si>
  <si>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</si>
  <si>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</si>
  <si>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</si>
  <si>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</si>
  <si>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</si>
  <si>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</si>
  <si>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</si>
  <si>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</si>
  <si>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</si>
  <si>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</si>
  <si>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</si>
  <si>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</si>
  <si>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</si>
  <si>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</si>
  <si>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</si>
  <si>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</si>
  <si>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</si>
  <si>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</si>
  <si>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</si>
  <si>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</si>
  <si>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</si>
  <si>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</si>
  <si>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</si>
  <si>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</si>
  <si>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</si>
  <si>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</si>
  <si>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</si>
  <si>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</si>
  <si>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</si>
  <si>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</si>
  <si>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</si>
  <si>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</si>
  <si>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</si>
  <si>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</si>
  <si>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</si>
  <si>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</si>
  <si>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</si>
  <si>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</si>
  <si>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</si>
  <si>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</si>
  <si>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</si>
  <si>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</si>
  <si>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</si>
  <si>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</si>
  <si>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</si>
  <si>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</si>
  <si>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</si>
  <si>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</si>
  <si>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</si>
  <si>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</si>
  <si>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</si>
  <si>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</si>
  <si>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</si>
  <si>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</si>
  <si>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</si>
  <si>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</si>
  <si>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</si>
  <si>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</si>
  <si>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</si>
  <si>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</si>
  <si>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</si>
  <si>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</si>
  <si>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</si>
  <si>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</si>
  <si>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</si>
  <si>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</si>
  <si>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</si>
  <si>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</si>
  <si>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</si>
  <si>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</si>
  <si>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</si>
  <si>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</si>
  <si>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</si>
  <si>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</si>
  <si>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</si>
  <si>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</si>
  <si>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</si>
  <si>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</si>
  <si>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</si>
  <si>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</si>
  <si>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</si>
  <si>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</si>
  <si>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</si>
  <si>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</si>
  <si>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</si>
  <si>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</si>
  <si>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</si>
  <si>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</si>
  <si>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</si>
  <si>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</si>
  <si>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</si>
  <si>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</si>
  <si>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</si>
  <si>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</si>
  <si>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</si>
  <si>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</si>
  <si>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</si>
  <si>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</si>
  <si>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</si>
  <si>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</si>
  <si>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</si>
  <si>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</si>
  <si>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</si>
  <si>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</si>
  <si>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</si>
  <si>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</si>
  <si>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</si>
  <si>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</si>
  <si>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</si>
  <si>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</si>
  <si>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</si>
  <si>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</si>
  <si>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</si>
  <si>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</si>
  <si>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</si>
  <si>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</si>
  <si>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</si>
  <si>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</si>
  <si>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</si>
  <si>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</si>
  <si>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</si>
  <si>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</si>
  <si>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</si>
  <si>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</si>
  <si>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</si>
  <si>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</si>
  <si>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</si>
  <si>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</si>
  <si>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</si>
  <si>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</si>
  <si>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</si>
  <si>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</si>
  <si>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</si>
  <si>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</si>
  <si>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</si>
  <si>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</si>
  <si>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</si>
  <si>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</si>
  <si>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</si>
  <si>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</si>
  <si>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</si>
  <si>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</si>
  <si>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</si>
  <si>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</si>
  <si>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</si>
  <si>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</si>
  <si>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</si>
  <si>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</si>
  <si>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</si>
  <si>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</si>
  <si>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</si>
  <si>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</si>
  <si>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</si>
  <si>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</si>
  <si>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</si>
  <si>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</si>
  <si>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</si>
  <si>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</si>
  <si>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</si>
  <si>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</si>
  <si>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</si>
  <si>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</si>
  <si>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</si>
  <si>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</si>
  <si>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</si>
  <si>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</si>
  <si>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</si>
  <si>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</si>
  <si>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</si>
  <si>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</si>
  <si>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</si>
  <si>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</si>
  <si>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</si>
  <si>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</si>
  <si>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</si>
  <si>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</si>
  <si>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</si>
  <si>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</si>
  <si>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</si>
  <si>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</si>
  <si>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</si>
  <si>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</si>
  <si>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</si>
  <si>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</si>
  <si>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</si>
  <si>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</si>
  <si>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</si>
  <si>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</si>
  <si>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</si>
  <si>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</si>
  <si>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</si>
  <si>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</si>
  <si>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</si>
  <si>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</si>
  <si>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</si>
  <si>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</si>
  <si>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</si>
  <si>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</si>
  <si>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</si>
  <si>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</si>
  <si>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</si>
  <si>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</si>
  <si>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</si>
  <si>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</si>
  <si>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</si>
  <si>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</si>
  <si>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</si>
  <si>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</si>
  <si>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</si>
  <si>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</si>
  <si>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</si>
  <si>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</si>
  <si>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</si>
  <si>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</si>
  <si>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</si>
  <si>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</si>
  <si>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</si>
  <si>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</si>
  <si>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</si>
  <si>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</si>
  <si>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</si>
  <si>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</si>
  <si>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</si>
  <si>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</si>
  <si>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</si>
  <si>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</si>
  <si>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</si>
  <si>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</si>
  <si>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</si>
  <si>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</si>
  <si>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</si>
  <si>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</si>
  <si>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</si>
  <si>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</si>
  <si>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</si>
  <si>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</si>
  <si>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</si>
  <si>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</si>
  <si>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</si>
  <si>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</si>
  <si>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</si>
  <si>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</si>
  <si>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</si>
  <si>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</si>
  <si>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</si>
  <si>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</si>
  <si>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</si>
  <si>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</si>
  <si>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</si>
  <si>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</si>
  <si>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</si>
  <si>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</si>
  <si>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</si>
  <si>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</si>
  <si>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</si>
  <si>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</si>
  <si>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</si>
  <si>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</si>
  <si>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</si>
  <si>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</si>
  <si>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</si>
  <si>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</si>
  <si>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</si>
  <si>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</si>
  <si>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</si>
  <si>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</si>
  <si>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</si>
  <si>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</si>
  <si>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</si>
  <si>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</si>
  <si>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</si>
  <si>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</si>
  <si>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</si>
  <si>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</si>
  <si>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</si>
  <si>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</si>
  <si>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</si>
  <si>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</si>
  <si>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</si>
  <si>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</si>
  <si>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</si>
  <si>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</si>
  <si>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</si>
  <si>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</si>
  <si>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</si>
  <si>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</si>
  <si>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</si>
  <si>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</si>
  <si>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</si>
  <si>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</si>
  <si>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</si>
  <si>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</si>
  <si>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</si>
  <si>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</si>
  <si>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</si>
  <si>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</si>
  <si>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</si>
  <si>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</si>
  <si>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</si>
  <si>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</si>
  <si>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</si>
  <si>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</si>
  <si>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</si>
  <si>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</si>
  <si>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</si>
  <si>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</si>
  <si>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</si>
  <si>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</si>
  <si>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</si>
  <si>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</si>
  <si>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</si>
  <si>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</si>
  <si>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</si>
  <si>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</si>
  <si>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</si>
  <si>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</si>
  <si>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</si>
  <si>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</si>
  <si>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</si>
  <si>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</si>
  <si>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</si>
  <si>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</si>
  <si>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</si>
  <si>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</si>
  <si>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</si>
  <si>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</si>
  <si>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</si>
  <si>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</si>
  <si>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</si>
  <si>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</si>
  <si>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</si>
  <si>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</si>
  <si>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</si>
  <si>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</si>
  <si>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</si>
  <si>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</si>
  <si>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</si>
  <si>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</si>
  <si>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</si>
  <si>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</si>
  <si>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</si>
  <si>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</si>
  <si>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</si>
  <si>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</si>
  <si>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</si>
  <si>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</si>
  <si>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</si>
  <si>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</si>
  <si>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</si>
  <si>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</si>
  <si>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</si>
  <si>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</si>
  <si>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</si>
  <si>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</si>
  <si>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</si>
  <si>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</si>
  <si>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</si>
  <si>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</si>
  <si>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</si>
  <si>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</si>
  <si>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</si>
  <si>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</si>
  <si>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</si>
  <si>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</si>
  <si>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</si>
  <si>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</si>
  <si>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</si>
  <si>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</si>
  <si>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</si>
  <si>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</si>
  <si>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</si>
  <si>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</si>
  <si>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</si>
  <si>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</si>
  <si>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</si>
  <si>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</si>
  <si>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</si>
  <si>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</si>
  <si>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</si>
  <si>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</si>
  <si>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</si>
  <si>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</si>
  <si>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</si>
  <si>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</si>
  <si>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</si>
  <si>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</si>
  <si>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</si>
  <si>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</si>
  <si>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</si>
  <si>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</si>
  <si>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</si>
  <si>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</si>
  <si>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</si>
  <si>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</si>
  <si>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</si>
  <si>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</si>
  <si>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</si>
  <si>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</si>
  <si>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</si>
  <si>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</si>
  <si>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</si>
  <si>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</si>
  <si>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</si>
  <si>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</si>
  <si>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</si>
  <si>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</si>
  <si>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</si>
  <si>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</si>
  <si>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</si>
  <si>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</si>
  <si>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</si>
  <si>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</si>
  <si>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</si>
  <si>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</si>
  <si>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</si>
  <si>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</si>
  <si>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</si>
  <si>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</si>
  <si>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</si>
  <si>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</si>
  <si>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</si>
  <si>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</si>
  <si>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</si>
  <si>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</si>
  <si>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</si>
  <si>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</si>
  <si>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</si>
  <si>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</si>
  <si>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</si>
  <si>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</si>
  <si>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</si>
  <si>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</si>
  <si>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</si>
  <si>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</si>
  <si>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</si>
  <si>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</si>
  <si>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</si>
  <si>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</si>
  <si>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</si>
  <si>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</si>
  <si>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</si>
  <si>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</si>
  <si>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</si>
  <si>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</si>
  <si>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</si>
  <si>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</si>
  <si>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</si>
  <si>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</si>
  <si>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</si>
  <si>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</si>
  <si>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</si>
  <si>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</si>
  <si>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</si>
  <si>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</si>
  <si>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</si>
  <si>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</si>
  <si>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</si>
  <si>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</si>
  <si>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</si>
  <si>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</si>
  <si>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</si>
  <si>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</si>
  <si>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</si>
  <si>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</si>
  <si>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</si>
  <si>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</si>
  <si>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</si>
  <si>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</si>
  <si>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</si>
  <si>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</si>
  <si>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</si>
  <si>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</si>
  <si>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</si>
  <si>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</si>
  <si>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</si>
  <si>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</si>
  <si>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</si>
  <si>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</si>
  <si>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</si>
  <si>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</si>
  <si>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</si>
  <si>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</si>
  <si>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</si>
  <si>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</si>
  <si>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</si>
  <si>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</si>
  <si>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</si>
  <si>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</si>
  <si>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</si>
  <si>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</si>
  <si>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</si>
  <si>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</si>
  <si>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</si>
  <si>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</si>
  <si>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</si>
  <si>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</si>
  <si>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</si>
  <si>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</si>
  <si>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</si>
  <si>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</si>
  <si>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</si>
  <si>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</si>
  <si>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</si>
  <si>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</si>
  <si>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</si>
  <si>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</si>
  <si>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</si>
  <si>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</si>
  <si>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</si>
  <si>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</si>
  <si>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</si>
  <si>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</si>
  <si>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</si>
  <si>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</si>
  <si>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</si>
  <si>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</si>
  <si>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</si>
  <si>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</si>
  <si>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</si>
  <si>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</si>
  <si>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</si>
  <si>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</si>
  <si>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</si>
  <si>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</si>
  <si>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</si>
  <si>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</si>
  <si>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</si>
  <si>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</si>
  <si>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</si>
  <si>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</si>
  <si>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</si>
  <si>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</si>
  <si>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</si>
  <si>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</si>
  <si>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</si>
  <si>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</si>
  <si>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</si>
  <si>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</si>
  <si>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</si>
  <si>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</si>
  <si>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</si>
  <si>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</si>
  <si>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</si>
  <si>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</si>
  <si>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</si>
  <si>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</si>
  <si>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</si>
  <si>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</si>
  <si>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</si>
  <si>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</si>
  <si>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</si>
  <si>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</si>
  <si>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</si>
  <si>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</si>
  <si>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</si>
  <si>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</si>
  <si>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</si>
  <si>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</si>
  <si>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</si>
  <si>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</si>
  <si>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</si>
  <si>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</si>
  <si>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</si>
  <si>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</si>
  <si>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</si>
  <si>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</si>
  <si>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</si>
  <si>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</si>
  <si>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</si>
  <si>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</si>
  <si>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</si>
  <si>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</si>
  <si>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</si>
  <si>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</si>
  <si>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</si>
  <si>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</si>
  <si>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</si>
  <si>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</si>
  <si>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</si>
  <si>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</si>
  <si>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</si>
  <si>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</si>
  <si>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</si>
  <si>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</si>
  <si>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</si>
  <si>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</si>
  <si>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</si>
  <si>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</si>
  <si>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</si>
  <si>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</si>
  <si>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</si>
  <si>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</si>
  <si>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</si>
  <si>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</si>
  <si>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</si>
  <si>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</si>
  <si>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</si>
  <si>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</si>
  <si>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</si>
  <si>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</si>
  <si>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</si>
  <si>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</si>
  <si>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</si>
  <si>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</si>
  <si>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</si>
  <si>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</si>
  <si>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</si>
  <si>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</si>
  <si>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</si>
  <si>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</si>
  <si>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</si>
  <si>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</si>
  <si>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</si>
  <si>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</si>
  <si>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</si>
  <si>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</si>
  <si>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</si>
  <si>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</si>
  <si>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</si>
  <si>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</si>
  <si>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</si>
  <si>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</si>
  <si>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</si>
  <si>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</si>
  <si>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</si>
  <si>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</si>
  <si>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</si>
  <si>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</si>
  <si>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</si>
  <si>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</si>
  <si>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</si>
  <si>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</si>
  <si>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</si>
  <si>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</si>
  <si>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</si>
  <si>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</si>
  <si>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</si>
  <si>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</si>
  <si>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</si>
  <si>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</si>
  <si>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</si>
  <si>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</si>
  <si>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</si>
  <si>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</si>
  <si>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</si>
  <si>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</si>
  <si>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</si>
  <si>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</si>
  <si>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</si>
  <si>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</si>
  <si>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</si>
  <si>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</si>
  <si>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</si>
  <si>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</si>
  <si>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</si>
  <si>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</si>
  <si>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</si>
  <si>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</si>
  <si>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</si>
  <si>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</si>
  <si>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</si>
  <si>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</si>
  <si>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</si>
  <si>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</si>
  <si>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</si>
  <si>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</si>
  <si>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</si>
  <si>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</si>
  <si>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</si>
  <si>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</si>
  <si>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</si>
  <si>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</si>
  <si>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</si>
  <si>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</si>
  <si>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</si>
  <si>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</si>
  <si>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</si>
  <si>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</si>
  <si>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</si>
  <si>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</si>
  <si>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</si>
  <si>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</si>
  <si>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</si>
  <si>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</si>
  <si>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</si>
  <si>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</si>
  <si>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</si>
  <si>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</si>
  <si>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</si>
  <si>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</si>
  <si>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</si>
  <si>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</si>
  <si>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</si>
  <si>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</si>
  <si>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</si>
  <si>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</si>
  <si>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</si>
  <si>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</si>
  <si>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</si>
  <si>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</si>
  <si>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</si>
  <si>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</si>
  <si>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</si>
  <si>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</si>
  <si>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</si>
  <si>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</si>
  <si>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</si>
  <si>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</si>
  <si>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</si>
  <si>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</si>
  <si>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</si>
  <si>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</si>
  <si>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</si>
  <si>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</si>
  <si>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</si>
  <si>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</si>
  <si>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</si>
  <si>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</si>
  <si>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</si>
  <si>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</si>
  <si>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</si>
  <si>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</si>
  <si>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</si>
  <si>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</si>
  <si>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</si>
  <si>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</si>
  <si>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</si>
  <si>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</si>
  <si>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</si>
  <si>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</si>
  <si>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</si>
  <si>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</si>
  <si>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</si>
  <si>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</si>
  <si>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</si>
  <si>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</si>
  <si>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</si>
  <si>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</si>
  <si>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</si>
  <si>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</si>
  <si>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</si>
  <si>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</si>
  <si>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</si>
  <si>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</si>
  <si>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</si>
  <si>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</si>
  <si>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</si>
  <si>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</si>
  <si>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</si>
  <si>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</si>
  <si>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</si>
  <si>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</si>
  <si>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</si>
  <si>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</si>
  <si>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</si>
  <si>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</si>
  <si>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</si>
  <si>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</si>
  <si>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</si>
  <si>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</si>
  <si>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</si>
  <si>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</si>
  <si>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</si>
  <si>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</si>
  <si>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</si>
  <si>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</si>
  <si>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</si>
  <si>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</si>
  <si>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</si>
  <si>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</si>
  <si>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</si>
  <si>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</si>
  <si>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</si>
  <si>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</si>
  <si>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</si>
  <si>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</si>
  <si>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</si>
  <si>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</si>
  <si>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</si>
  <si>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</si>
  <si>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</si>
  <si>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</si>
  <si>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</si>
  <si>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</si>
  <si>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</si>
  <si>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</si>
  <si>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</si>
  <si>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</si>
  <si>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</si>
  <si>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</si>
  <si>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</si>
  <si>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</si>
  <si>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</si>
  <si>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</si>
  <si>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</si>
  <si>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</si>
  <si>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</si>
  <si>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</si>
  <si>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</si>
  <si>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</si>
  <si>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</si>
  <si>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</si>
  <si>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</si>
  <si>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</si>
  <si>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</si>
  <si>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</si>
  <si>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</si>
  <si>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</si>
  <si>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</si>
  <si>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</si>
  <si>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</si>
  <si>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</si>
  <si>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</si>
  <si>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</si>
  <si>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</si>
  <si>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</si>
  <si>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</si>
  <si>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</si>
  <si>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</si>
  <si>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</si>
  <si>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</si>
  <si>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</si>
  <si>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</si>
  <si>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</si>
  <si>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</si>
  <si>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</si>
  <si>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</si>
  <si>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</si>
  <si>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</si>
  <si>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</si>
  <si>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</si>
  <si>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</si>
  <si>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</si>
  <si>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</si>
  <si>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</si>
  <si>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</si>
  <si>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</si>
  <si>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</si>
  <si>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</si>
  <si>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</si>
  <si>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</si>
  <si>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</si>
  <si>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</si>
  <si>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</si>
  <si>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</si>
  <si>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</si>
  <si>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</si>
  <si>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</si>
  <si>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</si>
  <si>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</si>
  <si>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</si>
  <si>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</si>
  <si>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</si>
  <si>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</si>
  <si>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</si>
  <si>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</si>
  <si>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</si>
  <si>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</si>
  <si>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</si>
  <si>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</si>
  <si>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</si>
  <si>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</si>
  <si>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</si>
  <si>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</si>
  <si>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</si>
  <si>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</si>
  <si>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</si>
  <si>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</si>
  <si>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</si>
  <si>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</si>
  <si>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</si>
  <si>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</si>
  <si>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</si>
  <si>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</si>
  <si>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</si>
  <si>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</si>
  <si>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</si>
  <si>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</si>
  <si>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</si>
  <si>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</si>
  <si>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</si>
  <si>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</si>
  <si>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</si>
  <si>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</si>
  <si>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</si>
  <si>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</si>
  <si>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</si>
  <si>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</si>
  <si>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</si>
  <si>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</si>
  <si>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</si>
  <si>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</si>
  <si>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</si>
  <si>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</si>
  <si>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</si>
  <si>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</si>
  <si>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</si>
  <si>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</si>
  <si>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</si>
  <si>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</si>
  <si>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</si>
  <si>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</si>
  <si>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</si>
  <si>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</si>
  <si>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</si>
  <si>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</si>
  <si>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</si>
  <si>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</si>
  <si>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</si>
  <si>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</si>
  <si>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</si>
  <si>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</si>
  <si>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</si>
  <si>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</si>
  <si>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</si>
  <si>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</si>
  <si>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</si>
  <si>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</si>
  <si>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</si>
  <si>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</si>
  <si>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</si>
  <si>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</si>
  <si>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</si>
  <si>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</si>
  <si>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</si>
  <si>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</si>
  <si>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</si>
  <si>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</si>
  <si>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</si>
  <si>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</si>
  <si>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</si>
  <si>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</si>
  <si>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</si>
  <si>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</si>
  <si>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</si>
  <si>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</si>
  <si>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</si>
  <si>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</si>
  <si>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</si>
  <si>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</si>
  <si>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</si>
  <si>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</si>
  <si>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</si>
  <si>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</si>
  <si>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</si>
  <si>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</si>
  <si>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</si>
  <si>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</si>
  <si>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</si>
  <si>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</si>
  <si>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</si>
  <si>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</si>
  <si>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</si>
  <si>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</si>
  <si>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</si>
  <si>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</si>
  <si>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</si>
  <si>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</si>
  <si>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</si>
  <si>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</si>
  <si>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</si>
  <si>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</si>
  <si>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</si>
  <si>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</si>
  <si>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</si>
  <si>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</si>
  <si>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</si>
  <si>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</si>
  <si>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</si>
  <si>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</si>
  <si>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</si>
  <si>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</si>
  <si>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</si>
  <si>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</si>
  <si>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</si>
  <si>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</si>
  <si>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</si>
  <si>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</si>
  <si>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</si>
  <si>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</si>
  <si>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</si>
  <si>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</si>
  <si>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</si>
  <si>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</si>
  <si>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</si>
  <si>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</si>
  <si>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</si>
  <si>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</si>
  <si>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</si>
  <si>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</si>
  <si>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</si>
  <si>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</si>
  <si>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</si>
  <si>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</si>
  <si>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</si>
  <si>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</si>
  <si>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</si>
  <si>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</si>
  <si>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</si>
  <si>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</si>
  <si>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</si>
  <si>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</si>
  <si>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</si>
  <si>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</si>
  <si>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</si>
  <si>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</si>
  <si>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</si>
  <si>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</si>
  <si>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</si>
  <si>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</si>
  <si>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</si>
  <si>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</si>
  <si>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</si>
  <si>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</si>
  <si>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</si>
  <si>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</si>
  <si>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</si>
  <si>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</si>
  <si>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</si>
  <si>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</si>
  <si>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</si>
  <si>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</si>
  <si>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</si>
  <si>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</si>
  <si>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</si>
  <si>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</si>
  <si>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</si>
  <si>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</si>
  <si>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</si>
  <si>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</si>
  <si>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</si>
  <si>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</si>
  <si>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</si>
  <si>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</si>
  <si>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</si>
  <si>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</si>
  <si>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</si>
  <si>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</si>
  <si>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</si>
  <si>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</si>
  <si>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</si>
  <si>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</si>
  <si>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</si>
  <si>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</si>
  <si>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</si>
  <si>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</si>
  <si>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</si>
  <si>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</si>
  <si>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</si>
  <si>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</si>
  <si>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</si>
  <si>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</si>
  <si>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</si>
  <si>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</si>
  <si>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</si>
  <si>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</si>
  <si>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</si>
  <si>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</si>
  <si>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</si>
  <si>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</si>
  <si>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</si>
  <si>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</si>
  <si>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</si>
  <si>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</si>
  <si>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</si>
  <si>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</si>
  <si>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</si>
  <si>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</si>
  <si>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</si>
  <si>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</si>
  <si>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</si>
  <si>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</si>
  <si>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</si>
  <si>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</si>
  <si>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</si>
  <si>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</si>
  <si>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</si>
  <si>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</si>
  <si>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</si>
  <si>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</si>
  <si>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</si>
  <si>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</si>
  <si>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</si>
  <si>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</si>
  <si>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</si>
  <si>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</si>
  <si>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</si>
  <si>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</si>
  <si>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</si>
  <si>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</si>
  <si>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</si>
  <si>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</si>
  <si>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</si>
  <si>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</si>
  <si>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</si>
  <si>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</si>
  <si>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</si>
  <si>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</si>
  <si>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</si>
  <si>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</si>
  <si>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</si>
  <si>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</si>
  <si>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</si>
  <si>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</si>
  <si>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</si>
  <si>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</si>
  <si>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</si>
  <si>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</si>
  <si>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</si>
  <si>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</si>
  <si>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</si>
  <si>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</si>
  <si>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</si>
  <si>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</si>
  <si>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</si>
  <si>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</si>
  <si>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</si>
  <si>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</si>
  <si>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</si>
  <si>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</si>
  <si>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</si>
  <si>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</si>
  <si>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</si>
  <si>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</si>
  <si>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</si>
  <si>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</si>
  <si>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</si>
  <si>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</si>
  <si>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</si>
  <si>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</si>
  <si>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</si>
  <si>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</si>
  <si>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</si>
  <si>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</si>
  <si>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</si>
  <si>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</si>
  <si>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</si>
  <si>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</si>
  <si>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</si>
  <si>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</si>
  <si>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</si>
  <si>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</si>
  <si>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</si>
  <si>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</si>
  <si>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</si>
  <si>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</si>
  <si>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</si>
  <si>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</si>
  <si>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</si>
  <si>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</si>
  <si>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</si>
  <si>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</si>
  <si>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</si>
  <si>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</si>
  <si>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</si>
  <si>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</si>
  <si>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</si>
  <si>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</si>
  <si>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</si>
  <si>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</si>
  <si>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</si>
  <si>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</si>
  <si>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</si>
  <si>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</si>
  <si>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</si>
  <si>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</si>
  <si>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</si>
  <si>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</si>
  <si>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</si>
  <si>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</si>
  <si>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</si>
  <si>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</si>
  <si>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</si>
  <si>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</si>
  <si>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</si>
  <si>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</si>
  <si>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</si>
  <si>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</si>
  <si>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</si>
  <si>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</si>
  <si>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</si>
  <si>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</si>
  <si>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</si>
  <si>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</si>
  <si>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</si>
  <si>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</si>
  <si>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</si>
  <si>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</si>
  <si>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</si>
  <si>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</si>
  <si>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</si>
  <si>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</si>
  <si>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</si>
  <si>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</si>
  <si>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</si>
  <si>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</si>
  <si>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</si>
  <si>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</si>
  <si>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</si>
  <si>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</si>
  <si>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</si>
  <si>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</si>
  <si>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</si>
  <si>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</si>
  <si>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</si>
  <si>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</si>
  <si>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</si>
  <si>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</si>
  <si>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</si>
  <si>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</si>
  <si>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</si>
  <si>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</si>
  <si>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</si>
  <si>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</si>
  <si>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</si>
  <si>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</si>
  <si>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</si>
  <si>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</si>
  <si>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</si>
  <si>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</si>
  <si>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</si>
  <si>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</si>
  <si>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</si>
  <si>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</si>
  <si>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</si>
  <si>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</si>
  <si>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</si>
  <si>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</si>
  <si>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</si>
  <si>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</si>
  <si>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</si>
  <si>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</si>
  <si>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</si>
  <si>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</si>
  <si>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</si>
  <si>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</si>
  <si>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</si>
  <si>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</si>
  <si>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</si>
  <si>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</si>
  <si>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</si>
  <si>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</si>
  <si>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</si>
  <si>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</si>
  <si>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</si>
  <si>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</si>
  <si>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</si>
  <si>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</si>
  <si>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</si>
  <si>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</si>
  <si>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</si>
  <si>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</si>
  <si>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</si>
  <si>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</si>
  <si>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</si>
  <si>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</si>
  <si>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</si>
  <si>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</si>
  <si>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</si>
  <si>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</si>
  <si>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</si>
  <si>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</si>
  <si>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</si>
  <si>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</si>
  <si>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</si>
  <si>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</si>
  <si>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</si>
  <si>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</si>
  <si>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</si>
  <si>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</si>
  <si>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</si>
  <si>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</si>
  <si>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</si>
  <si>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</si>
  <si>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</si>
  <si>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</si>
  <si>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</si>
  <si>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</si>
  <si>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</si>
  <si>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</si>
  <si>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</si>
  <si>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</si>
  <si>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</si>
  <si>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</si>
  <si>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</si>
  <si>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</si>
  <si>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</si>
  <si>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</si>
  <si>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</si>
  <si>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</si>
  <si>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</si>
  <si>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</si>
  <si>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</si>
  <si>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</si>
  <si>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</si>
  <si>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</si>
  <si>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</si>
  <si>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</si>
  <si>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</si>
  <si>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</si>
  <si>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</si>
  <si>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</si>
  <si>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</si>
  <si>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</si>
  <si>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</si>
  <si>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</si>
  <si>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</si>
  <si>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</si>
  <si>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</si>
  <si>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</si>
  <si>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</si>
  <si>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</si>
  <si>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</si>
  <si>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</si>
  <si>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</si>
  <si>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</si>
  <si>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</si>
  <si>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</si>
  <si>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</si>
  <si>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</si>
  <si>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</si>
  <si>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</si>
  <si>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</si>
  <si>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</si>
  <si>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</si>
  <si>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</si>
  <si>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</si>
  <si>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</si>
  <si>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</si>
  <si>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</si>
  <si>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</si>
  <si>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</si>
  <si>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</si>
  <si>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</si>
  <si>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</si>
  <si>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</si>
  <si>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</si>
  <si>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</si>
  <si>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</si>
  <si>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</si>
  <si>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</si>
  <si>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</si>
  <si>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</si>
  <si>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</si>
  <si>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</si>
  <si>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</si>
  <si>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</si>
  <si>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</si>
  <si>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</si>
  <si>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</si>
  <si>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</si>
  <si>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</si>
  <si>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</si>
  <si>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</si>
  <si>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</si>
  <si>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</si>
  <si>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</si>
  <si>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</si>
  <si>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</si>
  <si>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</si>
  <si>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</si>
  <si>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</si>
  <si>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</si>
  <si>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</si>
  <si>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</si>
  <si>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</si>
  <si>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</si>
  <si>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</si>
  <si>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</si>
  <si>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</si>
  <si>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</si>
  <si>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</si>
  <si>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</si>
  <si>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</si>
  <si>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</si>
  <si>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</si>
  <si>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</si>
  <si>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</si>
  <si>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</si>
  <si>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</si>
  <si>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</si>
  <si>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</si>
  <si>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</si>
  <si>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</si>
  <si>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</si>
  <si>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</si>
  <si>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</si>
  <si>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</si>
  <si>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</si>
  <si>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</si>
  <si>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</si>
  <si>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</si>
  <si>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</si>
  <si>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</si>
  <si>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</si>
  <si>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</si>
  <si>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</si>
  <si>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</si>
  <si>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</si>
  <si>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</si>
  <si>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</si>
  <si>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</si>
  <si>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</si>
  <si>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</si>
  <si>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</si>
  <si>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</si>
  <si>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</si>
  <si>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</si>
  <si>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</si>
  <si>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</si>
  <si>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</si>
  <si>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</si>
  <si>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</si>
  <si>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</si>
  <si>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</si>
  <si>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</si>
  <si>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</si>
  <si>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</si>
  <si>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</si>
  <si>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</si>
  <si>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</si>
  <si>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</si>
  <si>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</si>
  <si>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</si>
  <si>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</si>
  <si>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</si>
  <si>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</si>
  <si>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</si>
  <si>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</si>
  <si>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</si>
  <si>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</si>
  <si>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</si>
  <si>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</si>
  <si>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</si>
  <si>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</si>
  <si>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</si>
  <si>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</si>
  <si>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</si>
  <si>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</si>
  <si>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</si>
  <si>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</si>
  <si>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</si>
  <si>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</si>
  <si>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</si>
  <si>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</si>
  <si>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</si>
  <si>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</si>
  <si>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</si>
  <si>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</si>
  <si>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</si>
  <si>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</si>
  <si>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</si>
  <si>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</si>
  <si>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</si>
  <si>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</si>
  <si>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</si>
  <si>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</si>
  <si>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</si>
  <si>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</si>
  <si>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</si>
  <si>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</si>
  <si>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</si>
  <si>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</si>
  <si>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</si>
  <si>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</si>
  <si>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</si>
  <si>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</si>
  <si>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</si>
  <si>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</si>
  <si>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</si>
  <si>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</si>
  <si>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</si>
  <si>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</si>
  <si>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</si>
  <si>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</si>
  <si>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</si>
  <si>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</si>
  <si>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</si>
  <si>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</si>
  <si>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</si>
  <si>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</si>
  <si>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</si>
  <si>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</si>
  <si>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</si>
  <si>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</si>
  <si>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</si>
  <si>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</si>
  <si>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</si>
  <si>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</si>
  <si>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</si>
  <si>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</si>
  <si>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</si>
  <si>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</si>
  <si>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</si>
  <si>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</si>
  <si>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</si>
  <si>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</si>
  <si>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</si>
  <si>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</si>
  <si>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</si>
  <si>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</si>
  <si>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</si>
  <si>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</si>
  <si>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</si>
  <si>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</si>
  <si>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</si>
  <si>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</si>
  <si>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</si>
  <si>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</si>
  <si>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</si>
  <si>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</si>
  <si>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</si>
  <si>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</si>
  <si>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</si>
  <si>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</si>
  <si>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</si>
  <si>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</si>
  <si>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</si>
  <si>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</si>
  <si>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</si>
  <si>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</si>
  <si>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</si>
  <si>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</si>
  <si>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</si>
  <si>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</si>
  <si>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</si>
  <si>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</si>
  <si>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</si>
  <si>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</si>
  <si>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</si>
  <si>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</si>
  <si>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</si>
  <si>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</si>
  <si>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</si>
  <si>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</si>
  <si>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</si>
  <si>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</si>
  <si>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</si>
  <si>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</si>
  <si>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</si>
  <si>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</si>
  <si>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</si>
  <si>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</si>
  <si>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</si>
  <si>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</si>
  <si>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</si>
  <si>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</si>
  <si>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</si>
  <si>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</si>
  <si>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</si>
  <si>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</si>
  <si>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</si>
  <si>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</si>
  <si>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</si>
  <si>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</si>
  <si>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</si>
  <si>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</si>
  <si>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</si>
  <si>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</si>
  <si>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</si>
  <si>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</si>
  <si>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</si>
  <si>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</si>
  <si>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</si>
  <si>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</si>
  <si>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</si>
  <si>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</si>
  <si>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</si>
  <si>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</si>
  <si>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</si>
  <si>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</si>
  <si>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</si>
  <si>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</si>
  <si>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</si>
  <si>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</si>
  <si>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</si>
  <si>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</si>
  <si>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</si>
  <si>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</si>
  <si>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</si>
  <si>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</si>
  <si>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</si>
  <si>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</si>
  <si>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</si>
  <si>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</si>
  <si>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</si>
  <si>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</si>
  <si>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</si>
  <si>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</si>
  <si>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</si>
  <si>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</si>
  <si>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</si>
  <si>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</si>
  <si>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</si>
  <si>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</si>
  <si>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</si>
  <si>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</si>
  <si>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</si>
  <si>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</si>
  <si>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</si>
  <si>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</si>
  <si>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</si>
  <si>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</si>
  <si>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</si>
  <si>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</si>
  <si>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</si>
  <si>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</si>
  <si>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</si>
  <si>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</si>
  <si>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</si>
  <si>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</si>
  <si>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</si>
  <si>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</si>
  <si>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</si>
  <si>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</si>
  <si>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</si>
  <si>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</si>
  <si>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</si>
  <si>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</si>
  <si>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</si>
  <si>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</si>
  <si>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</si>
  <si>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</si>
  <si>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</si>
  <si>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</si>
  <si>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</si>
  <si>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</si>
  <si>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</si>
  <si>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</si>
  <si>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</si>
  <si>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</si>
  <si>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</si>
  <si>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</si>
  <si>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</si>
  <si>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</si>
  <si>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</si>
  <si>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</si>
  <si>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</si>
  <si>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</si>
  <si>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</si>
  <si>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</si>
  <si>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</si>
  <si>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</si>
  <si>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</si>
  <si>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</si>
  <si>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</si>
  <si>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</si>
  <si>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</si>
  <si>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</si>
  <si>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</si>
  <si>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</si>
  <si>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</si>
  <si>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</si>
  <si>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</si>
  <si>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</si>
  <si>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</si>
  <si>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</si>
  <si>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</si>
  <si>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</si>
  <si>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</si>
  <si>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</si>
  <si>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</si>
  <si>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</si>
  <si>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</si>
  <si>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</si>
  <si>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</si>
  <si>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</si>
  <si>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</si>
  <si>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</si>
  <si>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</si>
  <si>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</si>
  <si>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</si>
  <si>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</si>
  <si>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</si>
  <si>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</si>
  <si>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</si>
  <si>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</si>
  <si>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</si>
  <si>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</si>
  <si>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</si>
  <si>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</si>
  <si>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</si>
  <si>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</si>
  <si>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</si>
  <si>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</si>
  <si>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</si>
  <si>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</si>
  <si>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</si>
  <si>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</si>
  <si>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</si>
  <si>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</si>
  <si>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</si>
  <si>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</si>
  <si>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</si>
  <si>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</si>
  <si>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</si>
  <si>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</si>
  <si>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</si>
  <si>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</si>
  <si>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</si>
  <si>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</si>
  <si>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</si>
  <si>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</si>
  <si>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</si>
  <si>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</si>
  <si>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</si>
  <si>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</si>
  <si>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</si>
  <si>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</si>
  <si>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</si>
  <si>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</si>
  <si>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</si>
  <si>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</si>
  <si>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</si>
  <si>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</si>
  <si>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</si>
  <si>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</si>
  <si>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</si>
  <si>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</si>
  <si>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</si>
  <si>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</si>
  <si>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</si>
  <si>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</si>
  <si>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</si>
  <si>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</si>
  <si>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</si>
  <si>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</si>
  <si>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</si>
  <si>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</si>
  <si>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</si>
  <si>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</si>
  <si>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</si>
  <si>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</si>
  <si>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</si>
  <si>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</si>
  <si>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</si>
  <si>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</si>
  <si>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</si>
  <si>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</si>
  <si>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</si>
  <si>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</si>
  <si>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</si>
  <si>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</si>
  <si>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</si>
  <si>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</si>
  <si>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</si>
  <si>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</si>
  <si>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</si>
  <si>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</si>
  <si>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</si>
  <si>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</si>
  <si>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</si>
  <si>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</si>
  <si>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</si>
  <si>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</si>
  <si>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</si>
  <si>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</si>
  <si>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</si>
  <si>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</si>
  <si>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</si>
  <si>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</si>
  <si>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</si>
  <si>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</si>
  <si>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</si>
  <si>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</si>
  <si>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</si>
  <si>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</si>
  <si>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</si>
  <si>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</si>
  <si>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</si>
  <si>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</si>
  <si>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</si>
  <si>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</si>
  <si>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</si>
  <si>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</si>
  <si>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</si>
  <si>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</si>
  <si>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</si>
  <si>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</si>
  <si>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</si>
  <si>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</si>
  <si>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</si>
  <si>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</si>
  <si>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</si>
  <si>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</si>
  <si>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</si>
  <si>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</si>
  <si>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</si>
  <si>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</si>
  <si>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</si>
  <si>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</si>
  <si>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</si>
  <si>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</si>
  <si>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</si>
  <si>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</si>
  <si>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</si>
  <si>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</si>
  <si>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</si>
  <si>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</si>
  <si>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</si>
  <si>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</si>
  <si>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</si>
  <si>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</si>
  <si>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</si>
  <si>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</si>
  <si>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</si>
  <si>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</si>
  <si>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</si>
  <si>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</si>
  <si>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</si>
  <si>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</si>
  <si>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</si>
  <si>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</si>
  <si>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</si>
  <si>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</si>
  <si>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</si>
  <si>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</si>
  <si>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</si>
  <si>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</si>
  <si>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</si>
  <si>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</si>
  <si>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</si>
  <si>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</si>
  <si>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</si>
  <si>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</si>
  <si>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</si>
  <si>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</si>
  <si>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</si>
  <si>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</si>
  <si>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</si>
  <si>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</si>
  <si>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</si>
  <si>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</si>
  <si>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</si>
  <si>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</si>
  <si>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</si>
  <si>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</si>
  <si>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</si>
  <si>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</si>
  <si>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</si>
  <si>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</si>
  <si>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</si>
  <si>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</si>
  <si>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</si>
  <si>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</si>
  <si>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</si>
  <si>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</si>
  <si>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</si>
  <si>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</si>
  <si>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</si>
  <si>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</si>
  <si>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</si>
  <si>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</si>
  <si>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</si>
  <si>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</si>
  <si>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</si>
  <si>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</si>
  <si>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</si>
  <si>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</si>
  <si>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</si>
  <si>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</si>
  <si>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</si>
  <si>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</si>
  <si>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</si>
  <si>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</si>
  <si>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</si>
  <si>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</si>
  <si>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</si>
  <si>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</si>
  <si>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</si>
  <si>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</si>
  <si>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</si>
  <si>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</si>
  <si>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</si>
  <si>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</si>
  <si>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</si>
  <si>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</si>
  <si>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</si>
  <si>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</si>
  <si>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</si>
  <si>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</si>
  <si>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</si>
  <si>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</si>
  <si>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</si>
  <si>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</si>
  <si>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</si>
  <si>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</si>
  <si>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</si>
  <si>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</si>
  <si>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</si>
  <si>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</si>
  <si>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</si>
  <si>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</si>
  <si>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</si>
  <si>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</si>
  <si>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</si>
  <si>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</si>
  <si>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</si>
  <si>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</si>
  <si>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</si>
  <si>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</si>
  <si>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</si>
  <si>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</si>
  <si>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</si>
  <si>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</si>
  <si>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</si>
  <si>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</si>
  <si>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</si>
  <si>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</si>
  <si>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</si>
  <si>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</si>
  <si>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</si>
  <si>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</si>
  <si>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</si>
  <si>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</si>
  <si>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</si>
  <si>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</si>
  <si>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</si>
  <si>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</si>
  <si>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</si>
  <si>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</si>
  <si>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</si>
  <si>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</si>
  <si>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</si>
  <si>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</si>
  <si>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</si>
  <si>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</si>
  <si>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</si>
  <si>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</si>
  <si>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</si>
  <si>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</si>
  <si>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</si>
  <si>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</si>
  <si>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</si>
  <si>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</si>
  <si>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</si>
  <si>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</si>
  <si>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</si>
  <si>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</si>
  <si>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</si>
  <si>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</si>
  <si>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</si>
  <si>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</si>
  <si>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</si>
  <si>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</si>
  <si>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</si>
  <si>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</si>
  <si>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</si>
  <si>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</si>
  <si>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</si>
  <si>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</si>
  <si>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</si>
  <si>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</si>
  <si>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</si>
  <si>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</si>
  <si>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</si>
  <si>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</si>
  <si>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</si>
  <si>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</si>
  <si>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</si>
  <si>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</si>
  <si>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</si>
  <si>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</si>
  <si>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</si>
  <si>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</si>
  <si>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</si>
  <si>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</si>
  <si>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</si>
  <si>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</si>
  <si>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</si>
  <si>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</si>
  <si>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</si>
  <si>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</si>
  <si>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</si>
  <si>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</si>
  <si>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</si>
  <si>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</si>
  <si>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</si>
  <si>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</si>
  <si>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</si>
  <si>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</si>
  <si>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</si>
  <si>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</si>
  <si>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</si>
  <si>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</si>
  <si>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</si>
  <si>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</si>
  <si>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</si>
  <si>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</si>
  <si>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</si>
  <si>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</si>
  <si>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</si>
  <si>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</si>
  <si>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</si>
  <si>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</si>
  <si>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</si>
  <si>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</si>
  <si>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</si>
  <si>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</si>
  <si>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</si>
  <si>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</si>
  <si>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</si>
  <si>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</si>
  <si>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</si>
  <si>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</si>
  <si>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</si>
  <si>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</si>
  <si>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</si>
  <si>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</si>
  <si>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</si>
  <si>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</si>
  <si>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</si>
  <si>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</si>
  <si>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</si>
  <si>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</si>
  <si>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</si>
  <si>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</si>
  <si>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</si>
  <si>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</si>
  <si>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</si>
  <si>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</si>
  <si>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</si>
  <si>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</si>
  <si>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</si>
  <si>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</si>
  <si>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</si>
  <si>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</si>
  <si>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</si>
  <si>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</si>
  <si>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</si>
  <si>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</si>
  <si>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</si>
  <si>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</si>
  <si>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</si>
  <si>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</si>
  <si>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</si>
  <si>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</si>
  <si>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</si>
  <si>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</si>
  <si>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</si>
  <si>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</si>
  <si>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</si>
  <si>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</si>
  <si>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</si>
  <si>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</si>
  <si>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</si>
  <si>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</si>
  <si>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</si>
  <si>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</si>
  <si>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</si>
  <si>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</si>
  <si>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</si>
  <si>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</si>
  <si>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</si>
  <si>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</si>
  <si>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</si>
  <si>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</si>
  <si>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</si>
  <si>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</si>
  <si>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</si>
  <si>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</si>
  <si>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</si>
  <si>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</si>
  <si>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</si>
  <si>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</si>
  <si>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</si>
  <si>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</si>
  <si>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</si>
  <si>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</si>
  <si>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</si>
  <si>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</si>
  <si>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</si>
  <si>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</si>
  <si>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</si>
  <si>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</si>
  <si>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</si>
  <si>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</si>
  <si>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</si>
  <si>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</si>
  <si>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</si>
  <si>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</si>
  <si>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</si>
  <si>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</si>
  <si>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</si>
  <si>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</si>
  <si>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</si>
  <si>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</si>
  <si>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</si>
  <si>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</si>
  <si>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</si>
  <si>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</si>
  <si>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</si>
  <si>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</si>
  <si>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</si>
  <si>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</si>
  <si>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</si>
  <si>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</si>
  <si>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</si>
  <si>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</si>
  <si>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</si>
  <si>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</si>
  <si>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</si>
  <si>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</si>
  <si>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</si>
  <si>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</si>
  <si>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</si>
  <si>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</si>
  <si>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</si>
  <si>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</si>
  <si>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</si>
  <si>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</si>
  <si>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</si>
  <si>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</si>
  <si>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</si>
  <si>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</si>
  <si>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</si>
  <si>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</si>
  <si>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</si>
  <si>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</si>
  <si>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</si>
  <si>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</si>
  <si>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</si>
  <si>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</si>
  <si>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</si>
  <si>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</si>
  <si>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</si>
  <si>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</si>
  <si>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</si>
  <si>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</si>
  <si>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</si>
  <si>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</si>
  <si>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</si>
  <si>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</si>
  <si>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</si>
  <si>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</si>
  <si>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</si>
  <si>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</si>
  <si>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</si>
  <si>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</si>
  <si>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</si>
  <si>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</si>
  <si>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</si>
  <si>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</si>
  <si>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</si>
  <si>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</si>
  <si>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</si>
  <si>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</si>
  <si>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</si>
  <si>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</si>
  <si>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</si>
  <si>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</si>
  <si>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</si>
  <si>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</si>
  <si>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</si>
  <si>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</si>
  <si>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</si>
  <si>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</si>
  <si>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</si>
  <si>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</si>
  <si>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</si>
  <si>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</si>
  <si>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</si>
  <si>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</si>
  <si>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</si>
  <si>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</si>
  <si>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</si>
  <si>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</si>
  <si>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</si>
  <si>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</si>
  <si>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</si>
  <si>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</si>
  <si>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</si>
  <si>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</si>
  <si>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</si>
  <si>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</si>
  <si>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</si>
  <si>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</si>
  <si>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</si>
  <si>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</si>
  <si>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</si>
  <si>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</si>
  <si>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</si>
  <si>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</si>
  <si>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</si>
  <si>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</si>
  <si>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</si>
  <si>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</si>
  <si>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</si>
  <si>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</si>
  <si>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</si>
  <si>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</si>
  <si>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</si>
  <si>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</si>
  <si>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</si>
  <si>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</si>
  <si>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</si>
  <si>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</si>
  <si>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</si>
  <si>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</si>
  <si>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</si>
  <si>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</si>
  <si>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</si>
  <si>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</si>
  <si>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</si>
  <si>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</si>
  <si>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</si>
  <si>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</si>
  <si>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</si>
  <si>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</si>
  <si>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</si>
  <si>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</si>
  <si>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</si>
  <si>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</si>
  <si>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</si>
  <si>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</si>
  <si>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</si>
  <si>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</si>
  <si>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</si>
  <si>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</si>
  <si>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</si>
  <si>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</si>
  <si>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</si>
  <si>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</si>
  <si>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</si>
  <si>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</si>
  <si>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</si>
  <si>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</si>
  <si>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</si>
  <si>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</si>
  <si>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</si>
  <si>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</si>
  <si>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</si>
  <si>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</si>
  <si>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</si>
  <si>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</si>
  <si>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</si>
  <si>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</si>
  <si>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</si>
  <si>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</si>
  <si>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</si>
  <si>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</si>
  <si>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</si>
  <si>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</si>
  <si>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</si>
  <si>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</si>
  <si>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</si>
  <si>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</si>
  <si>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</si>
  <si>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</si>
  <si>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</si>
  <si>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</si>
  <si>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</si>
  <si>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</si>
  <si>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</si>
  <si>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</si>
  <si>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</si>
  <si>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</si>
  <si>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</si>
  <si>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</si>
  <si>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</si>
  <si>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</si>
  <si>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</si>
  <si>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</si>
  <si>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</si>
  <si>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</si>
  <si>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</si>
  <si>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</si>
  <si>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</si>
  <si>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</si>
  <si>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</si>
  <si>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</si>
  <si>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</si>
  <si>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</si>
  <si>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</si>
  <si>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</si>
  <si>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</si>
  <si>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</si>
  <si>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</si>
  <si>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</si>
  <si>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</si>
  <si>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</si>
  <si>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</si>
  <si>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</si>
  <si>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</si>
  <si>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</si>
  <si>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</si>
  <si>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</si>
  <si>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</si>
  <si>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</si>
  <si>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</si>
  <si>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</si>
  <si>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</si>
  <si>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</si>
  <si>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</si>
  <si>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</si>
  <si>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</si>
  <si>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</si>
  <si>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</si>
  <si>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</si>
  <si>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</si>
  <si>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</si>
  <si>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</si>
  <si>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</si>
  <si>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</si>
  <si>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</si>
  <si>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</si>
  <si>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</si>
  <si>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</si>
  <si>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</si>
  <si>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</si>
  <si>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</si>
  <si>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</si>
  <si>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</si>
  <si>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</si>
  <si>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</si>
  <si>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</si>
  <si>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</si>
  <si>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</si>
  <si>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</si>
  <si>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</si>
  <si>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</si>
  <si>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</si>
  <si>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</si>
  <si>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</si>
  <si>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</si>
  <si>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</si>
  <si>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</si>
  <si>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</si>
  <si>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</si>
  <si>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</si>
  <si>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</si>
  <si>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</si>
  <si>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</si>
  <si>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</si>
  <si>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</si>
  <si>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</si>
  <si>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</si>
  <si>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</si>
  <si>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</si>
  <si>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</si>
  <si>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</si>
  <si>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</si>
  <si>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</si>
  <si>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</si>
  <si>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</si>
  <si>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</si>
  <si>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</si>
  <si>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</si>
  <si>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</si>
  <si>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</si>
  <si>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</si>
  <si>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</si>
  <si>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</si>
  <si>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</si>
  <si>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</si>
  <si>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</si>
  <si>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</si>
  <si>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</si>
  <si>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</si>
  <si>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</si>
  <si>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</si>
  <si>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</si>
  <si>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</si>
  <si>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</si>
  <si>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</si>
  <si>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</si>
  <si>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</si>
  <si>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</si>
  <si>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</si>
  <si>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</si>
  <si>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</si>
  <si>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</si>
  <si>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</si>
  <si>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</si>
  <si>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</si>
  <si>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</si>
  <si>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</si>
  <si>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</si>
  <si>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</si>
  <si>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</si>
  <si>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</si>
  <si>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</si>
  <si>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</si>
  <si>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</si>
  <si>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</si>
  <si>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</si>
  <si>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</si>
  <si>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</si>
  <si>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</si>
  <si>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</si>
  <si>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</si>
  <si>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</si>
  <si>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</si>
  <si>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</si>
  <si>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</si>
  <si>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</si>
  <si>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</si>
  <si>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</si>
  <si>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</si>
  <si>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</si>
  <si>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</si>
  <si>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</si>
  <si>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</si>
  <si>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</si>
  <si>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</si>
  <si>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</si>
  <si>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</si>
  <si>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</si>
  <si>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</si>
  <si>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</si>
  <si>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</si>
  <si>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</si>
  <si>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</si>
  <si>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</si>
  <si>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</si>
  <si>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</si>
  <si>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</si>
  <si>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</si>
  <si>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</si>
  <si>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</si>
  <si>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</si>
  <si>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</si>
  <si>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</si>
  <si>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</si>
  <si>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</si>
  <si>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</si>
  <si>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</si>
  <si>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</si>
  <si>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</si>
  <si>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</si>
  <si>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</si>
  <si>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</si>
  <si>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</si>
  <si>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</si>
  <si>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</si>
  <si>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</si>
  <si>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</si>
  <si>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</si>
  <si>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</si>
  <si>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</si>
  <si>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</si>
  <si>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</si>
  <si>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</si>
  <si>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</si>
  <si>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</si>
  <si>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</si>
  <si>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</si>
  <si>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</si>
  <si>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</si>
  <si>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</si>
  <si>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</si>
  <si>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</si>
  <si>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</si>
  <si>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</si>
  <si>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</si>
  <si>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</si>
  <si>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</si>
  <si>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</si>
  <si>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</si>
  <si>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</si>
  <si>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</si>
  <si>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</si>
  <si>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</si>
  <si>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</si>
  <si>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</si>
  <si>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</si>
  <si>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</si>
  <si>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</si>
  <si>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</si>
  <si>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</si>
  <si>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</si>
  <si>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</si>
  <si>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</si>
  <si>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</si>
  <si>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</si>
  <si>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</si>
  <si>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</si>
  <si>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</si>
  <si>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</si>
  <si>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</si>
  <si>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</si>
  <si>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</si>
  <si>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</si>
  <si>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</si>
  <si>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</si>
  <si>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</si>
  <si>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</si>
  <si>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</si>
  <si>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</si>
  <si>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</si>
  <si>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</si>
  <si>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</si>
  <si>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</si>
  <si>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</si>
  <si>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</si>
  <si>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</si>
  <si>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</si>
  <si>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</si>
  <si>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</si>
  <si>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</si>
  <si>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</si>
  <si>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</si>
  <si>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</si>
  <si>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</si>
  <si>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</si>
  <si>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</si>
  <si>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</si>
  <si>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</si>
  <si>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</si>
  <si>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</si>
  <si>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</si>
  <si>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</si>
  <si>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</si>
  <si>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</si>
  <si>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</si>
  <si>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</si>
  <si>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</si>
  <si>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</si>
  <si>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</si>
  <si>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</si>
  <si>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</si>
  <si>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</si>
  <si>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</si>
  <si>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</si>
  <si>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</si>
  <si>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</si>
  <si>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</si>
  <si>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</si>
  <si>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</si>
  <si>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</si>
  <si>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</si>
  <si>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</si>
  <si>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</si>
  <si>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</si>
  <si>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</si>
  <si>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</si>
  <si>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</si>
  <si>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</si>
  <si>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</si>
  <si>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</si>
  <si>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</si>
  <si>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</si>
  <si>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</si>
  <si>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</si>
  <si>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</si>
  <si>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</si>
  <si>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</si>
  <si>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</si>
  <si>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</si>
  <si>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</si>
  <si>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</si>
  <si>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</si>
  <si>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</si>
  <si>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</si>
  <si>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</si>
  <si>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</si>
  <si>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</si>
  <si>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</si>
  <si>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</si>
  <si>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</si>
  <si>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</si>
  <si>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</si>
  <si>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</si>
  <si>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</si>
  <si>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</si>
  <si>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</si>
  <si>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</si>
  <si>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</si>
  <si>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</si>
  <si>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</si>
  <si>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</si>
  <si>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</si>
  <si>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</si>
  <si>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</si>
  <si>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</si>
  <si>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</si>
  <si>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</si>
  <si>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</si>
  <si>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</si>
  <si>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</si>
  <si>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</si>
  <si>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</si>
  <si>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</si>
  <si>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</si>
  <si>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</si>
  <si>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</si>
  <si>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</si>
  <si>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</si>
  <si>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</si>
  <si>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</si>
  <si>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</si>
  <si>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</si>
  <si>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</si>
  <si>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</si>
  <si>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</si>
  <si>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</si>
  <si>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</si>
  <si>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</si>
  <si>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</si>
  <si>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</si>
  <si>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</si>
  <si>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</si>
  <si>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</si>
  <si>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</si>
  <si>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</si>
  <si>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</si>
  <si>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</si>
  <si>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</si>
  <si>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</si>
  <si>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</si>
  <si>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</si>
  <si>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</si>
  <si>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</si>
  <si>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</si>
  <si>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</si>
  <si>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</si>
  <si>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</si>
  <si>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</si>
  <si>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</si>
  <si>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</si>
  <si>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</si>
  <si>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</si>
  <si>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</si>
  <si>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</si>
  <si>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</si>
  <si>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</si>
  <si>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</si>
  <si>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</si>
  <si>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</si>
  <si>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</si>
  <si>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</si>
  <si>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</si>
  <si>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</si>
  <si>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</si>
  <si>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</si>
  <si>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</si>
  <si>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</si>
  <si>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</si>
  <si>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</si>
  <si>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</si>
  <si>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</si>
  <si>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</si>
  <si>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</si>
  <si>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</si>
  <si>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</si>
  <si>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</si>
  <si>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</si>
  <si>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</si>
  <si>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</si>
  <si>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</si>
  <si>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</si>
  <si>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</si>
  <si>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</si>
  <si>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</si>
  <si>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</si>
  <si>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</si>
  <si>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</si>
  <si>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</si>
  <si>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</si>
  <si>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</si>
  <si>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</si>
  <si>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</si>
  <si>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</si>
  <si>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</si>
  <si>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</si>
  <si>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</si>
  <si>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</si>
  <si>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</si>
  <si>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</si>
  <si>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</si>
  <si>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</si>
  <si>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</si>
  <si>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</si>
  <si>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</si>
  <si>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</si>
  <si>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</si>
  <si>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</si>
  <si>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</si>
  <si>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</si>
  <si>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</si>
  <si>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</si>
  <si>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</si>
  <si>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</si>
  <si>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</si>
  <si>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</si>
  <si>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</si>
  <si>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</si>
  <si>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</si>
  <si>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</si>
  <si>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</si>
  <si>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</si>
  <si>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</si>
  <si>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</si>
  <si>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</si>
  <si>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</si>
  <si>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</si>
  <si>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</si>
  <si>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</si>
  <si>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</si>
  <si>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</si>
  <si>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</si>
  <si>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</si>
  <si>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</si>
  <si>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</si>
  <si>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</si>
  <si>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</si>
  <si>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</si>
  <si>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</si>
  <si>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</si>
  <si>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</si>
  <si>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</si>
  <si>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</si>
  <si>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</si>
  <si>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</si>
  <si>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</si>
  <si>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</si>
  <si>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</si>
  <si>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</si>
  <si>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</si>
  <si>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</si>
  <si>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</si>
  <si>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</si>
  <si>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</si>
  <si>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</si>
  <si>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</si>
  <si>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</si>
  <si>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</si>
  <si>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</si>
  <si>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</si>
  <si>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</si>
  <si>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</si>
  <si>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</si>
  <si>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</si>
  <si>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</si>
  <si>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</si>
  <si>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</si>
  <si>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</si>
  <si>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</si>
  <si>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</si>
  <si>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</si>
  <si>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</si>
  <si>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</si>
  <si>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</si>
  <si>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</si>
  <si>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</si>
  <si>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</si>
  <si>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</si>
  <si>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</si>
  <si>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</si>
  <si>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</si>
  <si>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</si>
  <si>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</si>
  <si>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</si>
  <si>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</si>
  <si>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</si>
  <si>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</si>
  <si>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</si>
  <si>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</si>
  <si>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</si>
  <si>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</si>
  <si>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</si>
  <si>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</si>
  <si>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</si>
  <si>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</si>
  <si>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</si>
  <si>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</si>
  <si>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</si>
  <si>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</si>
  <si>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</si>
  <si>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</si>
  <si>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</si>
  <si>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</si>
  <si>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</si>
  <si>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</si>
  <si>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</si>
  <si>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</si>
  <si>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</si>
  <si>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</si>
  <si>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</si>
  <si>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</si>
  <si>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</si>
  <si>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</si>
  <si>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</si>
  <si>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</si>
  <si>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</si>
  <si>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</si>
  <si>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</si>
  <si>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</si>
  <si>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</si>
  <si>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</si>
  <si>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</si>
  <si>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</si>
  <si>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</si>
  <si>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</si>
  <si>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</si>
  <si>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</si>
  <si>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</si>
  <si>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</si>
  <si>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</si>
  <si>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</si>
  <si>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</si>
  <si>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</si>
  <si>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</si>
  <si>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</si>
  <si>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</si>
  <si>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</si>
  <si>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</si>
  <si>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</si>
  <si>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</si>
  <si>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</si>
  <si>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</si>
  <si>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</si>
  <si>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</si>
  <si>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</si>
  <si>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</si>
  <si>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</si>
  <si>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</si>
  <si>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</si>
  <si>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</si>
  <si>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</si>
  <si>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</si>
  <si>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</si>
  <si>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</si>
  <si>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</si>
  <si>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</si>
  <si>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</si>
  <si>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</si>
  <si>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</si>
  <si>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</si>
  <si>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</si>
  <si>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</si>
  <si>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</si>
  <si>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</si>
  <si>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</si>
  <si>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</si>
  <si>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</si>
  <si>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</si>
  <si>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</si>
  <si>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</si>
  <si>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</si>
  <si>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</si>
  <si>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</si>
  <si>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</si>
  <si>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</si>
  <si>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</si>
  <si>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</si>
  <si>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</si>
  <si>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</si>
  <si>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</si>
  <si>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</si>
  <si>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</si>
  <si>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</si>
  <si>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</si>
  <si>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</si>
  <si>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</si>
  <si>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</si>
  <si>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</si>
  <si>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</si>
  <si>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</si>
  <si>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</si>
  <si>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</si>
  <si>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</si>
  <si>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</si>
  <si>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</si>
  <si>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</si>
  <si>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</si>
  <si>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</si>
  <si>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</si>
  <si>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</si>
  <si>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</si>
  <si>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</si>
  <si>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</si>
  <si>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</si>
  <si>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</si>
  <si>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</si>
  <si>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</si>
  <si>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</si>
  <si>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</si>
  <si>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</si>
  <si>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</si>
  <si>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</si>
  <si>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</si>
  <si>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</si>
  <si>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</si>
  <si>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</si>
  <si>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</si>
  <si>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</si>
  <si>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</si>
  <si>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</si>
  <si>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</si>
  <si>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</si>
  <si>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</si>
  <si>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</si>
  <si>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</si>
  <si>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</si>
  <si>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</si>
  <si>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</si>
  <si>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</si>
  <si>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</si>
  <si>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</si>
  <si>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</si>
  <si>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</si>
  <si>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</si>
  <si>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</si>
  <si>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</si>
  <si>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</si>
  <si>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</si>
  <si>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</si>
  <si>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</si>
  <si>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</si>
  <si>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</si>
  <si>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</si>
  <si>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</si>
  <si>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</si>
  <si>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</si>
  <si>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</si>
  <si>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</si>
  <si>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</si>
  <si>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</si>
  <si>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</si>
  <si>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</si>
  <si>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</si>
  <si>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</si>
  <si>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</si>
  <si>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</si>
  <si>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</si>
  <si>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</si>
  <si>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</si>
  <si>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</si>
  <si>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</si>
  <si>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</si>
  <si>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</si>
  <si>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</si>
  <si>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</si>
  <si>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</si>
  <si>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</si>
  <si>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</si>
  <si>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</si>
  <si>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</si>
  <si>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</si>
  <si>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</si>
  <si>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</si>
  <si>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</si>
  <si>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</si>
  <si>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</si>
  <si>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</si>
  <si>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</si>
  <si>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</si>
  <si>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</si>
  <si>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</si>
  <si>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</si>
  <si>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</si>
  <si>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</si>
  <si>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</si>
  <si>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</si>
  <si>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</si>
  <si>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</si>
  <si>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</si>
  <si>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</si>
  <si>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</si>
  <si>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</si>
  <si>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</si>
  <si>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</si>
  <si>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</si>
  <si>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</si>
  <si>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</si>
  <si>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</si>
  <si>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</si>
  <si>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</si>
  <si>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</si>
  <si>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</si>
  <si>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</si>
  <si>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</si>
  <si>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</si>
  <si>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</si>
  <si>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</si>
  <si>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</si>
  <si>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</si>
  <si>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</si>
  <si>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</si>
  <si>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</si>
  <si>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</si>
  <si>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</si>
  <si>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</si>
  <si>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</si>
  <si>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</si>
  <si>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</si>
  <si>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</si>
  <si>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</si>
  <si>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</si>
  <si>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</si>
  <si>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</si>
  <si>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</si>
  <si>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</si>
  <si>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</si>
  <si>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</si>
  <si>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</si>
  <si>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</si>
  <si>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</si>
  <si>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</si>
  <si>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</si>
  <si>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</si>
  <si>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</si>
  <si>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</si>
  <si>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</si>
  <si>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</si>
  <si>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</si>
  <si>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</si>
  <si>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</si>
  <si>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</si>
  <si>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</si>
  <si>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</si>
  <si>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</si>
  <si>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</si>
  <si>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</si>
  <si>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</si>
  <si>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</si>
  <si>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</si>
  <si>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</si>
  <si>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</si>
  <si>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</si>
  <si>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</si>
  <si>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</si>
  <si>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</si>
  <si>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</si>
  <si>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</si>
  <si>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</si>
  <si>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</si>
  <si>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</si>
  <si>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</si>
  <si>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</si>
  <si>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</si>
  <si>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</si>
  <si>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</si>
  <si>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</si>
  <si>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</si>
  <si>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</si>
  <si>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</si>
  <si>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</si>
  <si>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</si>
  <si>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</si>
  <si>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</si>
  <si>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</si>
  <si>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</si>
  <si>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</si>
  <si>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</si>
  <si>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</si>
  <si>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</si>
  <si>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</si>
  <si>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</si>
  <si>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</si>
  <si>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</si>
  <si>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</si>
  <si>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</si>
  <si>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</si>
  <si>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</si>
  <si>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</si>
  <si>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</si>
  <si>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</si>
  <si>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</si>
  <si>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</si>
  <si>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</si>
  <si>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</si>
  <si>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</si>
  <si>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</si>
  <si>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</si>
  <si>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</si>
  <si>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</si>
  <si>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</si>
  <si>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</si>
  <si>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</si>
  <si>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</si>
  <si>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</si>
  <si>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</si>
  <si>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</si>
  <si>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</si>
  <si>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</si>
  <si>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</si>
  <si>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</si>
  <si>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</si>
  <si>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</si>
  <si>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</si>
  <si>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</si>
  <si>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</si>
  <si>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</si>
  <si>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</si>
  <si>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</si>
  <si>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</si>
  <si>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</si>
  <si>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</si>
  <si>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</si>
  <si>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</si>
  <si>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</si>
  <si>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</si>
  <si>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</si>
  <si>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</si>
  <si>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</si>
  <si>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</si>
  <si>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</si>
  <si>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</si>
  <si>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</si>
  <si>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</si>
  <si>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</si>
  <si>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</si>
  <si>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</si>
  <si>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</si>
  <si>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</si>
  <si>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</si>
  <si>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</si>
  <si>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</si>
  <si>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</si>
  <si>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</si>
  <si>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</si>
  <si>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</si>
  <si>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</si>
  <si>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</si>
  <si>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</si>
  <si>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</si>
  <si>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</si>
  <si>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</si>
  <si>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</si>
  <si>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</si>
  <si>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</si>
  <si>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</si>
  <si>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</si>
  <si>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</si>
  <si>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</si>
  <si>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</si>
  <si>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</si>
  <si>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</si>
  <si>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</si>
  <si>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</si>
  <si>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</si>
  <si>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</si>
  <si>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</si>
  <si>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</si>
  <si>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</si>
  <si>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</si>
  <si>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</si>
  <si>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</si>
  <si>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</si>
  <si>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</si>
  <si>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</si>
  <si>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</si>
  <si>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</si>
  <si>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</si>
  <si>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</si>
  <si>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</si>
  <si>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</si>
  <si>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</si>
  <si>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</si>
  <si>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</si>
  <si>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</si>
  <si>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</si>
  <si>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</si>
  <si>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</si>
  <si>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</si>
  <si>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</si>
  <si>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</si>
  <si>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</si>
  <si>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</si>
  <si>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</si>
  <si>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</si>
  <si>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</si>
  <si>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</si>
  <si>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</si>
  <si>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</si>
  <si>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</si>
  <si>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</si>
  <si>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</si>
  <si>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</si>
  <si>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</si>
  <si>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</si>
  <si>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</si>
  <si>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</si>
  <si>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</si>
  <si>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</si>
  <si>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</si>
  <si>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</si>
  <si>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</si>
  <si>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</si>
  <si>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</si>
  <si>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</si>
  <si>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</si>
  <si>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</si>
  <si>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</si>
  <si>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</si>
  <si>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</si>
  <si>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</si>
  <si>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</si>
  <si>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</si>
  <si>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</si>
  <si>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</si>
  <si>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</si>
  <si>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</si>
  <si>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</si>
  <si>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</si>
  <si>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</si>
  <si>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</si>
  <si>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</si>
  <si>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</si>
  <si>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</si>
  <si>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</si>
  <si>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</si>
  <si>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</si>
  <si>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</si>
  <si>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</si>
  <si>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</si>
  <si>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</si>
  <si>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</si>
  <si>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</si>
  <si>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</si>
  <si>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</si>
  <si>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</si>
  <si>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</si>
  <si>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</si>
  <si>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</si>
  <si>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</si>
  <si>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</si>
  <si>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</si>
  <si>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</si>
  <si>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</si>
  <si>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</si>
  <si>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</si>
  <si>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</si>
  <si>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</si>
  <si>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</si>
  <si>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</si>
  <si>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</si>
  <si>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</si>
  <si>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</si>
  <si>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</si>
  <si>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</si>
  <si>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</si>
  <si>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</si>
  <si>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</si>
  <si>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</si>
  <si>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</si>
  <si>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</si>
  <si>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</si>
  <si>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</si>
  <si>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</si>
  <si>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</si>
  <si>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</si>
  <si>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</si>
  <si>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</si>
  <si>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</si>
  <si>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</si>
  <si>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</si>
  <si>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</si>
  <si>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</si>
  <si>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</si>
  <si>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</si>
  <si>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</si>
  <si>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</si>
  <si>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</si>
  <si>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</si>
  <si>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</si>
  <si>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</si>
  <si>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</si>
  <si>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</si>
  <si>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</si>
  <si>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</si>
  <si>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</si>
  <si>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</si>
  <si>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</si>
  <si>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</si>
  <si>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</si>
  <si>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</si>
  <si>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</si>
  <si>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</si>
  <si>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</si>
  <si>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</si>
  <si>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</si>
  <si>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</si>
  <si>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</si>
  <si>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</si>
  <si>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</si>
  <si>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</si>
  <si>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</si>
  <si>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</si>
  <si>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</si>
  <si>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</si>
  <si>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</si>
  <si>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</si>
  <si>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</si>
  <si>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</si>
  <si>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</si>
  <si>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</si>
  <si>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</si>
  <si>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</si>
  <si>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</si>
  <si>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</si>
  <si>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</si>
  <si>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</si>
  <si>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</si>
  <si>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</si>
  <si>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</si>
  <si>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</si>
  <si>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</si>
  <si>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</si>
  <si>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</si>
  <si>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</si>
  <si>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</si>
  <si>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</si>
  <si>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</si>
  <si>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</si>
  <si>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</si>
  <si>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</si>
  <si>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</si>
  <si>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</si>
  <si>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</si>
  <si>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</si>
  <si>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</si>
  <si>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</si>
  <si>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</si>
  <si>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</si>
  <si>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</si>
  <si>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</si>
  <si>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</si>
  <si>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</si>
  <si>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</si>
  <si>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</si>
  <si>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</si>
  <si>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</si>
  <si>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</si>
  <si>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</si>
  <si>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</si>
  <si>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</si>
  <si>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</si>
  <si>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</si>
  <si>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</si>
  <si>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</si>
  <si>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</si>
  <si>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</si>
  <si>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</si>
  <si>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</si>
  <si>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</si>
  <si>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</si>
  <si>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</si>
  <si>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</si>
  <si>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</si>
  <si>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</si>
  <si>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</si>
  <si>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</si>
  <si>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</si>
  <si>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</si>
  <si>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</si>
  <si>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</si>
  <si>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</si>
  <si>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</si>
  <si>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</si>
  <si>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</si>
  <si>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</si>
  <si>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</si>
  <si>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</si>
  <si>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</si>
  <si>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</si>
  <si>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</si>
  <si>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</si>
  <si>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</si>
  <si>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</si>
  <si>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</si>
  <si>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</si>
  <si>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</si>
  <si>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</si>
  <si>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</si>
  <si>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</si>
  <si>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</si>
  <si>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</si>
  <si>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</si>
  <si>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</si>
  <si>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</si>
  <si>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</si>
  <si>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</si>
  <si>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</si>
  <si>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</si>
  <si>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</si>
  <si>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</si>
  <si>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</si>
  <si>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</si>
  <si>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</si>
  <si>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</si>
  <si>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</si>
  <si>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</si>
  <si>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</si>
  <si>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</si>
  <si>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</si>
  <si>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</si>
  <si>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</si>
  <si>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</si>
  <si>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</si>
  <si>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</si>
  <si>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</si>
  <si>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</si>
  <si>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</si>
  <si>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</si>
  <si>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</si>
  <si>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</si>
  <si>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</si>
  <si>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</si>
  <si>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</si>
  <si>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</si>
  <si>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</si>
  <si>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</si>
  <si>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</si>
  <si>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</si>
  <si>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</si>
  <si>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</si>
  <si>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</si>
  <si>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</si>
  <si>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</si>
  <si>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</si>
  <si>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</si>
  <si>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</si>
  <si>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</si>
  <si>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</si>
  <si>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</si>
  <si>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</si>
  <si>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</si>
  <si>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</si>
  <si>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</si>
  <si>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</si>
  <si>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</si>
  <si>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</si>
  <si>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</si>
  <si>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</si>
  <si>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</si>
  <si>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</si>
  <si>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</si>
  <si>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</si>
  <si>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</si>
  <si>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</si>
  <si>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</si>
  <si>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</si>
  <si>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</si>
  <si>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</si>
  <si>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</si>
  <si>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</si>
  <si>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</si>
  <si>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</si>
  <si>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</si>
  <si>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</si>
  <si>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</si>
  <si>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</si>
  <si>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</si>
  <si>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</si>
  <si>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</si>
  <si>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</si>
  <si>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</si>
  <si>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</si>
  <si>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</si>
  <si>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</si>
  <si>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</si>
  <si>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</si>
  <si>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</si>
  <si>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</si>
  <si>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</si>
  <si>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</si>
  <si>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</si>
  <si>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</si>
  <si>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</si>
  <si>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</si>
  <si>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</si>
  <si>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</si>
  <si>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</si>
  <si>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</si>
  <si>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</si>
  <si>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</si>
  <si>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</si>
  <si>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</si>
  <si>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</si>
  <si>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</si>
  <si>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</si>
  <si>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</si>
  <si>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</si>
  <si>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</si>
  <si>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</si>
  <si>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</si>
  <si>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</si>
  <si>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</si>
  <si>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</si>
  <si>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</si>
  <si>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</si>
  <si>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</si>
  <si>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</si>
  <si>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</si>
  <si>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</si>
  <si>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</si>
  <si>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</si>
  <si>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</si>
  <si>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</si>
  <si>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</si>
  <si>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</si>
  <si>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</si>
  <si>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</si>
  <si>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</si>
  <si>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</si>
  <si>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</si>
  <si>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</si>
  <si>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</si>
  <si>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</si>
  <si>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</si>
  <si>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</si>
  <si>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</si>
  <si>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</si>
  <si>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</si>
  <si>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</si>
  <si>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</si>
  <si>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</si>
  <si>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</si>
  <si>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</si>
  <si>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</si>
  <si>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</si>
  <si>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</si>
  <si>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</si>
  <si>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</si>
  <si>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</si>
  <si>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</si>
  <si>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</si>
  <si>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</si>
  <si>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</si>
  <si>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</si>
  <si>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</si>
  <si>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</si>
  <si>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</si>
  <si>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</si>
  <si>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</si>
  <si>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</si>
  <si>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</si>
  <si>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</si>
  <si>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</si>
  <si>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</si>
  <si>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</si>
  <si>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</si>
  <si>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</si>
  <si>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</si>
  <si>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</si>
  <si>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</si>
  <si>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</si>
  <si>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</si>
  <si>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</si>
  <si>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</si>
  <si>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</si>
  <si>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</si>
  <si>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</si>
  <si>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</si>
  <si>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</si>
  <si>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</si>
  <si>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</si>
  <si>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</si>
  <si>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</si>
  <si>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</si>
  <si>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</si>
  <si>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</si>
  <si>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</si>
  <si>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</si>
  <si>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</si>
  <si>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</si>
  <si>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</si>
  <si>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</si>
  <si>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</si>
  <si>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</si>
  <si>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</si>
  <si>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</si>
  <si>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</si>
  <si>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</si>
  <si>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</si>
  <si>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</si>
  <si>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</si>
  <si>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</si>
  <si>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</si>
  <si>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</si>
  <si>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</si>
  <si>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</si>
  <si>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</si>
  <si>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</si>
  <si>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</si>
  <si>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</si>
  <si>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</si>
  <si>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</si>
  <si>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</si>
  <si>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</si>
  <si>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</si>
  <si>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</si>
  <si>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</si>
  <si>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</si>
  <si>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</si>
  <si>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</si>
  <si>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</si>
  <si>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</si>
  <si>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</si>
  <si>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</si>
  <si>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</si>
  <si>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</si>
  <si>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</si>
  <si>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</si>
  <si>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</si>
  <si>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</si>
  <si>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</si>
  <si>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</si>
  <si>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</si>
  <si>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</si>
  <si>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</si>
  <si>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</si>
  <si>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</si>
  <si>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</si>
  <si>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</si>
  <si>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</si>
  <si>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</si>
  <si>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</si>
  <si>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</si>
  <si>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</si>
  <si>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</si>
  <si>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</si>
  <si>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</si>
  <si>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</si>
  <si>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</si>
  <si>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</si>
  <si>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</si>
  <si>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</si>
  <si>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</si>
  <si>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</si>
  <si>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</si>
  <si>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</si>
  <si>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</si>
  <si>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</si>
  <si>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</si>
  <si>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</si>
  <si>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</si>
  <si>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</si>
  <si>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</si>
  <si>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</si>
  <si>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</si>
  <si>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</si>
  <si>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</si>
  <si>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</si>
  <si>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</si>
  <si>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</si>
  <si>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</si>
  <si>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</si>
  <si>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</si>
  <si>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</si>
  <si>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</si>
  <si>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</si>
  <si>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</si>
  <si>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</si>
  <si>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</si>
  <si>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</si>
  <si>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</si>
  <si>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</si>
  <si>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</si>
  <si>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</si>
  <si>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</si>
  <si>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</si>
  <si>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</si>
  <si>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</si>
  <si>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</si>
  <si>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</si>
  <si>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</si>
  <si>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</si>
  <si>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</si>
  <si>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</si>
  <si>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</si>
  <si>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</si>
  <si>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</si>
  <si>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</si>
  <si>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</si>
  <si>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</si>
  <si>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</si>
  <si>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</si>
  <si>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</si>
  <si>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</si>
  <si>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</si>
  <si>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</si>
  <si>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</si>
  <si>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</si>
  <si>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</si>
  <si>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</si>
  <si>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</si>
  <si>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</si>
  <si>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</si>
  <si>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</si>
  <si>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</si>
  <si>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</si>
  <si>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</si>
  <si>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</si>
  <si>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</si>
  <si>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</si>
  <si>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</si>
  <si>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</si>
  <si>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</si>
  <si>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</si>
  <si>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</si>
  <si>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</si>
  <si>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</si>
  <si>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</si>
  <si>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</si>
  <si>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</si>
  <si>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</si>
  <si>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</si>
  <si>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</si>
  <si>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</si>
  <si>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</si>
  <si>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</si>
  <si>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</si>
  <si>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</si>
  <si>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</si>
  <si>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</si>
  <si>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</si>
  <si>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</si>
  <si>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</si>
  <si>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</si>
  <si>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</si>
  <si>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</si>
  <si>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</si>
  <si>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</si>
  <si>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</si>
  <si>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</si>
  <si>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</si>
  <si>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</si>
  <si>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</si>
  <si>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</si>
  <si>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</si>
  <si>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</si>
  <si>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</si>
  <si>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</si>
  <si>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</si>
  <si>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</si>
  <si>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</si>
  <si>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</si>
  <si>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</si>
  <si>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</si>
  <si>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</si>
  <si>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</si>
  <si>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</si>
  <si>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</si>
  <si>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</si>
  <si>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</si>
  <si>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</si>
  <si>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</si>
  <si>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</si>
  <si>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</si>
  <si>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</si>
  <si>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</si>
  <si>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</si>
  <si>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</si>
  <si>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</si>
  <si>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</si>
  <si>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</si>
  <si>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</si>
  <si>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</si>
  <si>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</si>
  <si>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</si>
  <si>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</si>
  <si>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</si>
  <si>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</si>
  <si>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</si>
  <si>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</si>
  <si>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</si>
  <si>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</si>
  <si>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</si>
  <si>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</si>
  <si>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</si>
  <si>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</si>
  <si>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</si>
  <si>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</si>
  <si>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</si>
  <si>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</si>
  <si>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</si>
  <si>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</si>
  <si>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</si>
  <si>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</si>
  <si>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</si>
  <si>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</si>
  <si>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</si>
  <si>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</si>
  <si>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</si>
  <si>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</si>
  <si>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</si>
  <si>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</si>
  <si>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</si>
  <si>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</si>
  <si>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</si>
  <si>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</si>
  <si>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</si>
  <si>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</si>
  <si>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</si>
  <si>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</si>
  <si>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</si>
  <si>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</si>
  <si>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</si>
  <si>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</si>
  <si>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</si>
  <si>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</si>
  <si>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</si>
  <si>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</si>
  <si>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</si>
  <si>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</si>
  <si>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</si>
  <si>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</si>
  <si>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</si>
  <si>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</si>
  <si>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</si>
  <si>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</si>
  <si>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</si>
  <si>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</si>
  <si>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</si>
  <si>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</si>
  <si>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</si>
  <si>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</si>
  <si>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</si>
  <si>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</si>
  <si>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</si>
  <si>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</si>
  <si>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</si>
  <si>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</si>
  <si>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</si>
  <si>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</si>
  <si>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</si>
  <si>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</si>
  <si>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</si>
  <si>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</si>
  <si>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</si>
  <si>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</si>
  <si>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</si>
  <si>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</si>
  <si>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</si>
  <si>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</si>
  <si>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</si>
  <si>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</si>
  <si>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</si>
  <si>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</si>
  <si>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</si>
  <si>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</si>
  <si>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</si>
  <si>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</si>
  <si>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</si>
  <si>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</si>
  <si>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</si>
  <si>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</si>
  <si>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</si>
  <si>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</si>
  <si>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</si>
  <si>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</si>
  <si>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</si>
  <si>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</si>
  <si>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</si>
  <si>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</si>
  <si>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</si>
  <si>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</si>
  <si>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</si>
  <si>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</si>
  <si>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</si>
  <si>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</si>
  <si>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</si>
  <si>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</si>
  <si>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</si>
  <si>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</si>
  <si>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</si>
  <si>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</si>
  <si>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</si>
  <si>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</si>
  <si>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</si>
  <si>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</si>
  <si>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</si>
  <si>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</si>
  <si>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</si>
  <si>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</si>
  <si>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</si>
  <si>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</si>
  <si>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</si>
  <si>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</si>
  <si>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</si>
  <si>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</si>
  <si>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</si>
  <si>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</si>
  <si>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</si>
  <si>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</si>
  <si>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</si>
  <si>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</si>
  <si>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</si>
  <si>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</si>
  <si>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</si>
  <si>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</si>
  <si>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</si>
  <si>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</si>
  <si>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</si>
  <si>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</si>
  <si>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</si>
  <si>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</si>
  <si>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</si>
  <si>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</si>
  <si>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</si>
  <si>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</si>
  <si>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</si>
  <si>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</si>
  <si>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</si>
  <si>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</si>
  <si>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</si>
  <si>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</si>
  <si>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</si>
  <si>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</si>
  <si>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</si>
  <si>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</si>
  <si>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</si>
  <si>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</si>
  <si>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</si>
  <si>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</si>
  <si>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</si>
  <si>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</si>
  <si>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</si>
  <si>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</si>
  <si>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</si>
  <si>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</si>
  <si>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</si>
  <si>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</si>
  <si>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</si>
  <si>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</si>
  <si>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</si>
  <si>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</si>
  <si>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</si>
  <si>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</si>
  <si>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</si>
  <si>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</si>
  <si>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</si>
  <si>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</si>
  <si>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</si>
  <si>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</si>
  <si>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</si>
  <si>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</si>
  <si>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</si>
  <si>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</si>
  <si>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</si>
  <si>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</si>
  <si>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</si>
  <si>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</si>
  <si>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</si>
  <si>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</si>
  <si>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</si>
  <si>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</si>
  <si>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</si>
  <si>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</si>
  <si>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</si>
  <si>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</si>
  <si>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</si>
  <si>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</si>
  <si>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</si>
  <si>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</si>
  <si>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</si>
  <si>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</si>
  <si>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</si>
  <si>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</si>
  <si>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</si>
  <si>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</si>
  <si>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</si>
  <si>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</si>
  <si>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</si>
  <si>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</si>
  <si>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</si>
  <si>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</si>
  <si>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</si>
  <si>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</si>
  <si>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</si>
  <si>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</si>
  <si>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</si>
  <si>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</si>
  <si>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</si>
  <si>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</si>
  <si>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</si>
  <si>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</si>
  <si>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</si>
  <si>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</si>
  <si>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</si>
  <si>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</si>
  <si>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</si>
  <si>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</si>
  <si>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</si>
  <si>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</si>
  <si>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</si>
  <si>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</si>
  <si>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</si>
  <si>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</si>
  <si>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</si>
  <si>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</si>
  <si>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</si>
  <si>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</si>
  <si>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</si>
  <si>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</si>
  <si>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</si>
  <si>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</si>
  <si>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</si>
  <si>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</si>
  <si>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</si>
  <si>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</si>
  <si>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</si>
  <si>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</si>
  <si>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</si>
  <si>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</si>
  <si>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</si>
  <si>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</si>
  <si>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</si>
  <si>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</si>
  <si>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</si>
  <si>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</si>
  <si>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</si>
  <si>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</si>
  <si>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</si>
  <si>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</si>
  <si>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</si>
  <si>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</si>
  <si>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</si>
  <si>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</si>
  <si>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</si>
  <si>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</si>
  <si>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</si>
  <si>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</si>
  <si>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</si>
  <si>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</si>
  <si>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</si>
  <si>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</si>
  <si>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</si>
  <si>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</si>
  <si>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</si>
  <si>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</si>
  <si>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</si>
  <si>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</si>
  <si>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</si>
  <si>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</si>
  <si>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</si>
  <si>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</si>
  <si>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</si>
  <si>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</si>
  <si>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</si>
  <si>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</si>
  <si>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</si>
  <si>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</si>
  <si>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</si>
  <si>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</si>
  <si>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</si>
  <si>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</si>
  <si>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</si>
  <si>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</si>
  <si>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</si>
  <si>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</si>
  <si>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</si>
  <si>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</si>
  <si>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</si>
  <si>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</si>
  <si>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</si>
  <si>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</si>
  <si>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</si>
  <si>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</si>
  <si>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</si>
  <si>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</si>
  <si>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</si>
  <si>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</si>
  <si>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</si>
  <si>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</si>
  <si>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</si>
  <si>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</si>
  <si>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</si>
  <si>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</si>
  <si>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</si>
  <si>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</si>
  <si>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</si>
  <si>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</si>
  <si>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</si>
  <si>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</si>
  <si>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</si>
  <si>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</si>
  <si>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</si>
  <si>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</si>
  <si>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</si>
  <si>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</si>
  <si>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</si>
  <si>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</si>
  <si>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</si>
  <si>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</si>
  <si>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</si>
  <si>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</si>
  <si>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</si>
  <si>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</si>
  <si>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</si>
  <si>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</si>
  <si>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</si>
  <si>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</si>
  <si>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</si>
  <si>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</si>
  <si>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</si>
  <si>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</si>
  <si>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</si>
  <si>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</si>
  <si>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</si>
  <si>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</si>
  <si>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</si>
  <si>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</si>
  <si>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</si>
  <si>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</si>
  <si>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</si>
  <si>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</si>
  <si>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</si>
  <si>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</si>
  <si>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</si>
  <si>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</si>
  <si>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</si>
  <si>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</si>
  <si>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</si>
  <si>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</si>
  <si>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</si>
  <si>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</si>
  <si>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</si>
  <si>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</si>
  <si>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</si>
  <si>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</si>
  <si>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</si>
  <si>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</si>
  <si>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</si>
  <si>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</si>
  <si>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</si>
  <si>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</si>
  <si>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</si>
  <si>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</si>
  <si>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</si>
  <si>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</si>
  <si>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</si>
  <si>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</si>
  <si>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</si>
  <si>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</si>
  <si>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</si>
  <si>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</si>
  <si>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</si>
  <si>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</si>
  <si>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</si>
  <si>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</si>
  <si>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</si>
  <si>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</si>
  <si>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</si>
  <si>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</si>
  <si>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</si>
  <si>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</si>
  <si>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</si>
  <si>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</si>
  <si>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</si>
  <si>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</si>
  <si>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</si>
  <si>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</si>
  <si>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</si>
  <si>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</si>
  <si>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</si>
  <si>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</si>
  <si>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</si>
  <si>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</si>
  <si>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</si>
  <si>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</si>
  <si>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</si>
  <si>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</si>
  <si>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</si>
  <si>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</si>
  <si>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</si>
  <si>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</si>
  <si>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</si>
  <si>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</si>
  <si>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</si>
  <si>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</si>
  <si>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</si>
  <si>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</si>
  <si>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</si>
  <si>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</si>
  <si>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</si>
  <si>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</si>
  <si>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</si>
  <si>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</si>
  <si>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</si>
  <si>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</si>
  <si>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</si>
  <si>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</si>
  <si>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</si>
  <si>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</si>
  <si>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</si>
  <si>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</si>
  <si>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</si>
  <si>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</si>
  <si>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</si>
  <si>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</si>
  <si>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</si>
  <si>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</si>
  <si>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</si>
  <si>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</si>
  <si>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</si>
  <si>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</si>
  <si>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</si>
  <si>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</si>
  <si>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</si>
  <si>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</si>
  <si>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</si>
  <si>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</si>
  <si>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</si>
  <si>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</si>
  <si>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</si>
  <si>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</si>
  <si>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</si>
  <si>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</si>
  <si>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</si>
  <si>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</si>
  <si>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</si>
  <si>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</si>
  <si>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</si>
  <si>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</si>
  <si>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</si>
  <si>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</si>
  <si>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</si>
  <si>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</si>
  <si>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</si>
  <si>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</si>
  <si>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</si>
  <si>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</si>
  <si>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</si>
  <si>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</si>
  <si>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</si>
  <si>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</si>
  <si>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</si>
  <si>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</si>
  <si>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</si>
  <si>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</si>
  <si>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</si>
  <si>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</si>
  <si>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</si>
  <si>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</si>
  <si>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</si>
  <si>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</si>
  <si>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</si>
  <si>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</si>
  <si>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</si>
  <si>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</si>
  <si>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</si>
  <si>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</si>
  <si>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</si>
  <si>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</si>
  <si>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</si>
  <si>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</si>
  <si>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</si>
  <si>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</si>
  <si>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</si>
  <si>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</si>
  <si>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</si>
  <si>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</si>
  <si>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</si>
  <si>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</si>
  <si>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</si>
  <si>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</si>
  <si>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</si>
  <si>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</si>
  <si>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</si>
  <si>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</si>
  <si>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</si>
  <si>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</si>
  <si>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</si>
  <si>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</si>
  <si>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</si>
  <si>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</si>
  <si>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</si>
  <si>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</si>
  <si>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</si>
  <si>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</si>
  <si>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</si>
  <si>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</si>
  <si>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</si>
  <si>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</si>
  <si>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</si>
  <si>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</si>
  <si>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</si>
  <si>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</si>
  <si>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</si>
  <si>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</si>
  <si>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</si>
  <si>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</si>
  <si>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</si>
  <si>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</si>
  <si>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</si>
  <si>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</si>
  <si>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</si>
  <si>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</si>
  <si>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</si>
  <si>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</si>
  <si>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</si>
  <si>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</si>
  <si>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</si>
  <si>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</si>
  <si>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</si>
  <si>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</si>
  <si>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</si>
  <si>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</si>
  <si>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</si>
  <si>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</si>
  <si>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</si>
  <si>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</si>
  <si>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</si>
  <si>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</si>
  <si>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</si>
  <si>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</si>
  <si>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</si>
  <si>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</si>
  <si>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</si>
  <si>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</si>
  <si>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</si>
  <si>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</si>
  <si>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</si>
  <si>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</si>
  <si>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</si>
  <si>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</si>
  <si>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</si>
  <si>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</si>
  <si>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</si>
  <si>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</si>
  <si>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</si>
  <si>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</si>
  <si>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</si>
  <si>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</si>
  <si>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</si>
  <si>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</si>
  <si>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</si>
  <si>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</si>
  <si>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</si>
  <si>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</si>
  <si>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</si>
  <si>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</si>
  <si>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</si>
  <si>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</si>
  <si>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</si>
  <si>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</si>
  <si>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</si>
  <si>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</si>
  <si>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</si>
  <si>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</si>
  <si>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</si>
  <si>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</si>
  <si>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</si>
  <si>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</si>
  <si>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</si>
  <si>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</si>
  <si>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</si>
  <si>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</si>
  <si>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</si>
  <si>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</si>
  <si>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</si>
  <si>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</si>
  <si>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</si>
  <si>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</si>
  <si>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</si>
  <si>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</si>
  <si>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</si>
  <si>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</si>
  <si>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</si>
  <si>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</si>
  <si>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</si>
  <si>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</si>
  <si>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</si>
  <si>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</si>
  <si>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</si>
  <si>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</si>
  <si>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</si>
  <si>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</si>
  <si>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</si>
  <si>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</si>
  <si>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</si>
  <si>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</si>
  <si>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</si>
  <si>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</si>
  <si>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</si>
  <si>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</si>
  <si>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</si>
  <si>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</si>
  <si>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</si>
  <si>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</si>
  <si>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</si>
  <si>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</si>
  <si>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</si>
  <si>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</si>
  <si>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</si>
  <si>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</si>
  <si>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</si>
  <si>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</si>
  <si>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</si>
  <si>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</si>
  <si>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</si>
  <si>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</si>
  <si>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</si>
  <si>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</si>
  <si>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</si>
  <si>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</si>
  <si>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</si>
  <si>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</si>
  <si>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</si>
  <si>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</si>
  <si>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</si>
  <si>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</si>
  <si>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</si>
  <si>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</si>
  <si>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</si>
  <si>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</si>
  <si>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</si>
  <si>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</si>
  <si>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</si>
  <si>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</si>
  <si>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</si>
  <si>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</si>
  <si>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</si>
  <si>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</si>
  <si>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</si>
  <si>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</si>
  <si>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</si>
  <si>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</si>
  <si>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</si>
  <si>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</si>
  <si>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</si>
  <si>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</si>
  <si>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</si>
  <si>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</si>
  <si>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</si>
  <si>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</si>
  <si>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</si>
  <si>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</si>
  <si>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</si>
  <si>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</si>
  <si>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</si>
  <si>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</si>
  <si>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</si>
  <si>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</si>
  <si>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</si>
  <si>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</si>
  <si>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</si>
  <si>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</si>
  <si>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</si>
  <si>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</si>
  <si>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</si>
  <si>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</si>
  <si>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</si>
  <si>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</si>
  <si>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</si>
  <si>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</si>
  <si>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</si>
  <si>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</si>
  <si>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</si>
  <si>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</si>
  <si>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</si>
  <si>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</si>
  <si>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</si>
  <si>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</si>
  <si>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</si>
  <si>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</si>
  <si>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</si>
  <si>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</si>
  <si>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</si>
  <si>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</si>
  <si>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</si>
  <si>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</si>
  <si>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</si>
  <si>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</si>
  <si>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</si>
  <si>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</si>
  <si>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</si>
  <si>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</si>
  <si>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</si>
  <si>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</si>
  <si>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</si>
  <si>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</si>
  <si>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</si>
  <si>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</si>
  <si>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</si>
  <si>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</si>
  <si>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</si>
  <si>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</si>
  <si>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</si>
  <si>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</si>
  <si>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</si>
  <si>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</si>
  <si>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</si>
  <si>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</si>
  <si>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</si>
  <si>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</si>
  <si>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</si>
  <si>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</si>
  <si>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</si>
  <si>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</si>
  <si>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</si>
  <si>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</si>
  <si>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</si>
  <si>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</si>
  <si>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</si>
  <si>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</si>
  <si>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</si>
  <si>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</si>
  <si>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</si>
  <si>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</si>
  <si>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</si>
  <si>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</si>
  <si>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</si>
  <si>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</si>
  <si>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</si>
  <si>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</si>
  <si>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</si>
  <si>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</si>
  <si>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</si>
  <si>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</si>
  <si>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</si>
  <si>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</si>
  <si>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</si>
  <si>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</si>
  <si>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</si>
  <si>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</si>
  <si>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</si>
  <si>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</si>
  <si>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</si>
  <si>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</si>
  <si>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</si>
  <si>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</si>
  <si>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</si>
  <si>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</si>
  <si>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</si>
  <si>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</si>
  <si>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</si>
  <si>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</si>
  <si>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</si>
  <si>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</si>
  <si>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</si>
  <si>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</si>
  <si>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</si>
  <si>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</si>
  <si>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</si>
  <si>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</si>
  <si>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</si>
  <si>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</si>
  <si>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</si>
  <si>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</si>
  <si>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</si>
  <si>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</si>
  <si>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</si>
  <si>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</si>
  <si>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</si>
  <si>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</si>
  <si>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</si>
  <si>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</si>
  <si>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</si>
  <si>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</si>
  <si>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</si>
  <si>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</si>
  <si>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</si>
  <si>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</si>
  <si>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</si>
  <si>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</si>
  <si>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</si>
  <si>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</si>
  <si>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</si>
  <si>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</si>
  <si>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</si>
  <si>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</si>
  <si>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</si>
  <si>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</si>
  <si>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</si>
  <si>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</si>
  <si>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</si>
  <si>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</si>
  <si>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</si>
  <si>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</si>
  <si>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</si>
  <si>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</si>
  <si>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</si>
  <si>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</si>
  <si>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</si>
  <si>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</si>
  <si>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</si>
  <si>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</si>
  <si>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</si>
  <si>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</si>
  <si>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</si>
  <si>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</si>
  <si>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</si>
  <si>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</si>
  <si>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</si>
  <si>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</si>
  <si>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</si>
  <si>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</si>
  <si>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</si>
  <si>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</si>
  <si>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</si>
  <si>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</si>
  <si>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</si>
  <si>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</si>
  <si>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</si>
  <si>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</si>
  <si>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</si>
  <si>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</si>
  <si>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</si>
  <si>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</si>
  <si>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</si>
  <si>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</si>
  <si>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</si>
  <si>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</si>
  <si>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</si>
  <si>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</si>
  <si>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</si>
  <si>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</si>
  <si>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</si>
  <si>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</si>
  <si>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</si>
  <si>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</si>
  <si>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</si>
  <si>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</si>
  <si>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</si>
  <si>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</si>
  <si>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</si>
  <si>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</si>
  <si>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</si>
  <si>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</si>
  <si>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</si>
  <si>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</si>
  <si>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</si>
  <si>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</si>
  <si>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</si>
  <si>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</si>
  <si>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</si>
  <si>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</si>
  <si>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</si>
  <si>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</si>
  <si>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</si>
  <si>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</si>
  <si>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</si>
  <si>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</si>
  <si>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</si>
  <si>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</si>
  <si>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</si>
  <si>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</si>
  <si>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</si>
  <si>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</si>
  <si>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</si>
  <si>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</si>
  <si>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</si>
  <si>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</si>
  <si>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</si>
  <si>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</si>
  <si>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</si>
  <si>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</si>
  <si>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</si>
  <si>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</si>
  <si>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</si>
  <si>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</si>
  <si>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</si>
  <si>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</si>
  <si>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</si>
  <si>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</si>
  <si>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</si>
  <si>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</si>
  <si>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</si>
  <si>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</si>
  <si>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</si>
  <si>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</si>
  <si>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</si>
  <si>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</si>
  <si>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</si>
  <si>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</si>
  <si>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</si>
  <si>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</si>
  <si>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</si>
  <si>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</si>
  <si>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</si>
  <si>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</si>
  <si>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</si>
  <si>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</si>
  <si>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</si>
  <si>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</si>
  <si>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</si>
  <si>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</si>
  <si>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</si>
  <si>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</si>
  <si>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</si>
  <si>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</si>
  <si>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</si>
  <si>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</si>
  <si>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</si>
  <si>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</si>
  <si>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</si>
  <si>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</si>
  <si>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</si>
  <si>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</si>
  <si>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</si>
  <si>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</si>
  <si>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</si>
  <si>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</si>
  <si>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</si>
  <si>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</si>
  <si>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</si>
  <si>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</si>
  <si>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</si>
  <si>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</si>
  <si>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</si>
  <si>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</si>
  <si>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</si>
  <si>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</si>
  <si>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</si>
  <si>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</si>
  <si>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</si>
  <si>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</si>
  <si>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</si>
  <si>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</si>
  <si>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</si>
  <si>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</si>
  <si>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</si>
  <si>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</si>
  <si>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</si>
  <si>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</si>
  <si>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</si>
  <si>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</si>
  <si>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</si>
  <si>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</si>
  <si>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</si>
  <si>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</si>
  <si>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</si>
  <si>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</si>
  <si>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</si>
  <si>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</si>
  <si>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</si>
  <si>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</si>
  <si>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</si>
  <si>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</si>
  <si>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</si>
  <si>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</si>
  <si>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</si>
  <si>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</si>
  <si>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</si>
  <si>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</si>
  <si>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</si>
  <si>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</si>
  <si>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</si>
  <si>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</si>
  <si>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</si>
  <si>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</si>
  <si>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</si>
  <si>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</si>
  <si>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</si>
  <si>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</si>
  <si>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</si>
  <si>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</si>
  <si>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</si>
  <si>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</si>
  <si>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</si>
  <si>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</si>
  <si>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</si>
  <si>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</si>
  <si>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</si>
  <si>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</si>
  <si>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</si>
  <si>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</si>
  <si>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</si>
  <si>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</si>
  <si>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</si>
  <si>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</si>
  <si>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</si>
  <si>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</si>
  <si>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</si>
  <si>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</si>
  <si>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</si>
  <si>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</si>
  <si>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</si>
  <si>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</si>
  <si>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</si>
  <si>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</si>
  <si>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</si>
  <si>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</si>
  <si>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</si>
  <si>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</si>
  <si>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</si>
  <si>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</si>
  <si>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</si>
  <si>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</si>
  <si>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</si>
  <si>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</si>
  <si>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</si>
  <si>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</si>
  <si>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</si>
  <si>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</si>
  <si>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</si>
  <si>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</si>
  <si>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</si>
  <si>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</si>
  <si>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</si>
  <si>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</si>
  <si>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</si>
  <si>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</si>
  <si>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</si>
  <si>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</si>
  <si>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</si>
  <si>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</si>
  <si>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</si>
  <si>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</si>
  <si>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</si>
  <si>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</si>
  <si>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</si>
  <si>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</si>
  <si>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</si>
  <si>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</si>
  <si>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</si>
  <si>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</si>
  <si>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</si>
  <si>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</si>
  <si>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</si>
  <si>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</si>
  <si>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</si>
  <si>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</si>
  <si>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</si>
  <si>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</si>
  <si>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</si>
  <si>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</si>
  <si>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</si>
  <si>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</si>
  <si>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</si>
  <si>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</si>
  <si>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</si>
  <si>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</si>
  <si>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</si>
  <si>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</si>
  <si>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</si>
  <si>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</si>
  <si>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</si>
  <si>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</si>
  <si>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</si>
  <si>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</si>
  <si>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</si>
  <si>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</si>
  <si>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</si>
  <si>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</si>
  <si>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</si>
  <si>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</si>
  <si>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</si>
  <si>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</si>
  <si>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</si>
  <si>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</si>
  <si>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</si>
  <si>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</si>
  <si>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</si>
  <si>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</si>
  <si>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</si>
  <si>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</si>
  <si>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</si>
  <si>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</si>
  <si>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</si>
  <si>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</si>
  <si>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</si>
  <si>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</si>
  <si>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</si>
  <si>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</si>
  <si>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</si>
  <si>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</si>
  <si>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</si>
  <si>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</si>
  <si>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</si>
  <si>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</si>
  <si>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</si>
  <si>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</si>
  <si>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</si>
  <si>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</si>
  <si>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</si>
  <si>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</si>
  <si>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</si>
  <si>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</si>
  <si>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</si>
  <si>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</si>
  <si>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</si>
  <si>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</si>
  <si>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</si>
  <si>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</si>
  <si>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</si>
  <si>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</si>
  <si>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</si>
  <si>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</si>
  <si>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</si>
  <si>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</si>
  <si>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</si>
  <si>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</si>
  <si>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</si>
  <si>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</si>
  <si>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</si>
  <si>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</si>
  <si>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</si>
  <si>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</si>
  <si>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</si>
  <si>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</si>
  <si>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</si>
  <si>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</si>
  <si>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</si>
  <si>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</si>
  <si>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</si>
  <si>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</si>
  <si>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</si>
  <si>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</si>
  <si>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</si>
  <si>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</si>
  <si>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</si>
  <si>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</si>
  <si>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</si>
  <si>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</si>
  <si>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</si>
  <si>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</si>
  <si>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</si>
  <si>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</si>
  <si>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</si>
  <si>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</si>
  <si>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</si>
  <si>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</si>
  <si>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</si>
  <si>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</si>
  <si>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</si>
  <si>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</si>
  <si>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</si>
  <si>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</si>
  <si>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</si>
  <si>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</si>
  <si>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</si>
  <si>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</si>
  <si>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</si>
  <si>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</si>
  <si>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</si>
  <si>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</si>
  <si>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</si>
  <si>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</si>
  <si>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</si>
  <si>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</si>
  <si>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</si>
  <si>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</si>
  <si>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</si>
  <si>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</si>
  <si>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</si>
  <si>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</si>
  <si>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</si>
  <si>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</si>
  <si>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</si>
  <si>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</si>
  <si>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</si>
  <si>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</si>
  <si>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</si>
  <si>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</si>
  <si>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</si>
  <si>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</si>
  <si>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</si>
  <si>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</si>
  <si>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</si>
  <si>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</si>
  <si>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</si>
  <si>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</si>
  <si>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</si>
  <si>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</si>
  <si>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</si>
  <si>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</si>
  <si>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</si>
  <si>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</si>
  <si>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</si>
  <si>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</si>
  <si>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</si>
  <si>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</si>
  <si>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</si>
  <si>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</si>
  <si>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</si>
  <si>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</si>
  <si>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</si>
  <si>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</si>
  <si>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</si>
  <si>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</si>
  <si>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</si>
  <si>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</si>
  <si>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</si>
  <si>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</si>
  <si>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</si>
  <si>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</si>
  <si>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</si>
  <si>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</si>
  <si>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</si>
  <si>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</si>
  <si>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</si>
  <si>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</si>
  <si>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</si>
  <si>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</si>
  <si>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</si>
  <si>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</si>
  <si>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</si>
  <si>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</si>
  <si>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</si>
  <si>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</si>
  <si>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</si>
  <si>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</si>
  <si>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</si>
  <si>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</si>
  <si>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</si>
  <si>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</si>
  <si>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</si>
  <si>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</si>
  <si>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</si>
  <si>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</si>
  <si>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</si>
  <si>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</si>
  <si>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</si>
  <si>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</si>
  <si>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</si>
  <si>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</si>
  <si>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</si>
  <si>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</si>
  <si>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</si>
  <si>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</si>
  <si>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</si>
  <si>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</si>
  <si>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</si>
  <si>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</si>
  <si>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</si>
  <si>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</si>
  <si>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</si>
  <si>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</si>
  <si>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</si>
  <si>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</si>
  <si>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</si>
  <si>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</si>
  <si>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</si>
  <si>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</si>
  <si>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</si>
  <si>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</si>
  <si>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</si>
  <si>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</si>
  <si>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</si>
  <si>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</si>
  <si>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</si>
  <si>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</si>
  <si>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</si>
  <si>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</si>
  <si>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</si>
  <si>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</si>
  <si>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</si>
  <si>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</si>
  <si>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</si>
  <si>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</si>
  <si>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</si>
  <si>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</si>
  <si>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</si>
  <si>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</si>
  <si>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</si>
  <si>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</si>
  <si>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</si>
  <si>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</si>
  <si>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</si>
  <si>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</si>
  <si>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</si>
  <si>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</si>
  <si>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</si>
  <si>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</si>
  <si>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</si>
  <si>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</si>
  <si>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</si>
  <si>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</si>
  <si>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</si>
  <si>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</si>
  <si>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</si>
  <si>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</si>
  <si>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</si>
  <si>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</si>
  <si>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</si>
  <si>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</si>
  <si>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</si>
  <si>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</si>
  <si>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</si>
  <si>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</si>
  <si>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</si>
  <si>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</si>
  <si>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</si>
  <si>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</si>
  <si>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</si>
  <si>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</si>
  <si>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</si>
  <si>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</si>
  <si>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</si>
  <si>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</si>
  <si>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</si>
  <si>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</si>
  <si>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</si>
  <si>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</si>
  <si>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</si>
  <si>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</si>
  <si>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</si>
  <si>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</si>
  <si>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</si>
  <si>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</si>
  <si>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</si>
  <si>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</si>
  <si>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</si>
  <si>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</si>
  <si>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</si>
  <si>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</si>
  <si>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</si>
  <si>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</si>
  <si>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</si>
  <si>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</si>
  <si>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</si>
  <si>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</si>
  <si>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</si>
  <si>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</si>
  <si>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</si>
  <si>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</si>
  <si>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</si>
  <si>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</si>
  <si>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</si>
  <si>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</si>
  <si>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</si>
  <si>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</si>
  <si>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</si>
  <si>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</si>
  <si>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</si>
  <si>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</si>
  <si>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</si>
  <si>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</si>
  <si>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</si>
  <si>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</si>
  <si>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</si>
  <si>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</si>
  <si>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</si>
  <si>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</si>
  <si>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</si>
  <si>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</si>
  <si>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</si>
  <si>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</si>
  <si>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</si>
  <si>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</si>
  <si>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</si>
  <si>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</si>
  <si>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</si>
  <si>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</si>
  <si>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</si>
  <si>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</si>
  <si>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</si>
  <si>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</si>
  <si>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</si>
  <si>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</si>
  <si>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</si>
  <si>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</si>
  <si>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</si>
  <si>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</si>
  <si>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</si>
  <si>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</si>
  <si>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</si>
  <si>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</si>
  <si>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</si>
  <si>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</si>
  <si>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</si>
  <si>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</si>
  <si>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</si>
  <si>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</si>
  <si>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</si>
  <si>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</si>
  <si>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</si>
  <si>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</si>
  <si>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</si>
  <si>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</si>
  <si>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</si>
  <si>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</si>
  <si>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</si>
  <si>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</si>
  <si>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</si>
  <si>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</si>
  <si>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</si>
  <si>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</si>
  <si>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</si>
  <si>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</si>
  <si>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</si>
  <si>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</si>
  <si>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</si>
  <si>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</si>
  <si>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</si>
  <si>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</si>
  <si>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</si>
  <si>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</si>
  <si>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</si>
  <si>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</si>
  <si>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</si>
  <si>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</si>
  <si>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</si>
  <si>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</si>
  <si>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</si>
  <si>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</si>
  <si>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</si>
  <si>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</si>
  <si>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</si>
  <si>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</si>
  <si>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</si>
  <si>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</si>
  <si>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</si>
  <si>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</si>
  <si>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</si>
  <si>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</si>
  <si>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</si>
  <si>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</si>
  <si>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</si>
  <si>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</si>
  <si>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</si>
  <si>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</si>
  <si>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</si>
  <si>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</si>
  <si>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</si>
  <si>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</si>
  <si>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</si>
  <si>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</si>
  <si>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</si>
  <si>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</si>
  <si>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</si>
  <si>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</si>
  <si>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</si>
  <si>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</si>
  <si>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</si>
  <si>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</si>
  <si>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</si>
  <si>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</si>
  <si>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</si>
  <si>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</si>
  <si>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</si>
  <si>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</si>
  <si>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</si>
  <si>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</si>
  <si>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</si>
  <si>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</si>
  <si>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</si>
  <si>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</si>
  <si>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</si>
  <si>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</si>
  <si>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</si>
  <si>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</si>
  <si>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</si>
  <si>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</si>
  <si>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</si>
  <si>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</si>
  <si>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</si>
  <si>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</si>
  <si>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</si>
  <si>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</si>
  <si>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</si>
  <si>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</si>
  <si>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</si>
  <si>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</si>
  <si>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</si>
  <si>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</si>
  <si>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</si>
  <si>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</si>
  <si>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</si>
  <si>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</si>
  <si>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</si>
  <si>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</si>
  <si>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</si>
  <si>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</si>
  <si>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</si>
  <si>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</si>
  <si>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</si>
  <si>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</si>
  <si>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</si>
  <si>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</si>
  <si>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</si>
  <si>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</si>
  <si>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</si>
  <si>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</si>
  <si>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</si>
  <si>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</si>
  <si>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</si>
  <si>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</si>
  <si>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</si>
  <si>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</si>
  <si>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</si>
  <si>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</si>
  <si>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</si>
  <si>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</si>
  <si>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</si>
  <si>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</si>
  <si>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</si>
  <si>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</si>
  <si>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</si>
  <si>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</si>
  <si>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</si>
  <si>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</si>
  <si>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</si>
  <si>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</si>
  <si>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</si>
  <si>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</si>
  <si>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</si>
  <si>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</si>
  <si>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</si>
  <si>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</si>
  <si>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</si>
  <si>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</si>
  <si>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</si>
  <si>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</si>
  <si>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</si>
  <si>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</si>
  <si>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</si>
  <si>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</si>
  <si>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</si>
  <si>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</si>
  <si>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</si>
  <si>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</si>
  <si>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</si>
  <si>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</si>
  <si>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</si>
  <si>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</si>
  <si>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</si>
  <si>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</si>
  <si>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</si>
  <si>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</si>
  <si>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</si>
  <si>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</si>
  <si>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</si>
  <si>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</si>
  <si>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</si>
  <si>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</si>
  <si>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</si>
  <si>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</si>
  <si>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</si>
  <si>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</si>
  <si>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</si>
  <si>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</si>
  <si>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</si>
  <si>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</si>
  <si>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</si>
  <si>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</si>
  <si>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</si>
  <si>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</si>
  <si>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</si>
  <si>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</si>
  <si>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</si>
  <si>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</si>
  <si>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</si>
  <si>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</si>
  <si>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</si>
  <si>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</si>
  <si>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</si>
  <si>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</si>
  <si>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</si>
  <si>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</si>
  <si>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</si>
  <si>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</si>
  <si>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</si>
  <si>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</si>
  <si>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</si>
  <si>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</si>
  <si>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</si>
  <si>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</si>
  <si>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</si>
  <si>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</si>
  <si>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</si>
  <si>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</si>
  <si>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</si>
  <si>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</si>
  <si>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</si>
  <si>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</si>
  <si>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</si>
  <si>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</si>
  <si>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</si>
  <si>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</si>
  <si>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</si>
  <si>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</si>
  <si>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</si>
  <si>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</si>
  <si>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</si>
  <si>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</si>
  <si>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</si>
  <si>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</si>
  <si>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</si>
  <si>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</si>
  <si>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</si>
  <si>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</si>
  <si>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</si>
  <si>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</si>
  <si>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</si>
  <si>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</si>
  <si>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</si>
  <si>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</si>
  <si>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</si>
  <si>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</si>
  <si>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</si>
  <si>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</si>
  <si>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</si>
  <si>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</si>
  <si>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</si>
  <si>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</si>
  <si>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</si>
  <si>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</si>
  <si>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</si>
  <si>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</si>
  <si>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</si>
  <si>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</si>
  <si>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</si>
  <si>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</si>
  <si>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</si>
  <si>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</si>
  <si>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</si>
  <si>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</si>
  <si>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</si>
  <si>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</si>
  <si>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</si>
  <si>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</si>
  <si>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</si>
  <si>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</si>
  <si>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</si>
  <si>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</si>
  <si>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</si>
  <si>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</si>
  <si>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</si>
  <si>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</si>
  <si>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</si>
  <si>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</si>
  <si>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</si>
  <si>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</si>
  <si>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</si>
  <si>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</si>
  <si>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</si>
  <si>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</si>
  <si>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</si>
  <si>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</si>
  <si>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</si>
  <si>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</si>
  <si>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</si>
  <si>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</si>
  <si>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</si>
  <si>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</si>
  <si>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</si>
  <si>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</si>
  <si>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</si>
  <si>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</si>
  <si>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</si>
  <si>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</si>
  <si>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</si>
  <si>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</si>
  <si>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</si>
  <si>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</si>
  <si>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</si>
  <si>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</si>
  <si>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</si>
  <si>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</si>
  <si>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</si>
  <si>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</si>
  <si>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</si>
  <si>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</si>
  <si>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</si>
  <si>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</si>
  <si>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</si>
  <si>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</si>
  <si>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</si>
  <si>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</si>
  <si>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</si>
  <si>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</si>
  <si>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</si>
  <si>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</si>
  <si>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</si>
  <si>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</si>
  <si>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</si>
  <si>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</si>
  <si>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</si>
  <si>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</si>
  <si>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</si>
  <si>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</si>
  <si>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</si>
  <si>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</si>
  <si>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</si>
  <si>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</si>
  <si>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</si>
  <si>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</si>
  <si>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</si>
  <si>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</si>
  <si>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</si>
  <si>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</si>
  <si>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</si>
  <si>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</si>
  <si>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</si>
  <si>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</si>
  <si>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</si>
  <si>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</si>
  <si>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</si>
  <si>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</si>
  <si>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</si>
  <si>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</si>
  <si>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</si>
  <si>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</si>
  <si>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</si>
  <si>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</si>
  <si>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</si>
  <si>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</si>
  <si>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</si>
  <si>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</si>
  <si>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</si>
  <si>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</si>
  <si>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</si>
  <si>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</si>
  <si>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</si>
  <si>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</si>
  <si>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</si>
  <si>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</si>
  <si>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</si>
  <si>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</si>
  <si>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</si>
  <si>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</si>
  <si>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</si>
  <si>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</si>
  <si>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</si>
  <si>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</si>
  <si>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</si>
  <si>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</si>
  <si>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</si>
  <si>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</si>
  <si>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</si>
  <si>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</si>
  <si>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</si>
  <si>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</si>
  <si>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</si>
  <si>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</si>
  <si>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</si>
  <si>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</si>
  <si>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</si>
  <si>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</si>
  <si>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</si>
  <si>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</si>
  <si>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</si>
  <si>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</si>
  <si>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</si>
  <si>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</si>
  <si>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</si>
  <si>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</si>
  <si>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</si>
  <si>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</si>
  <si>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</si>
  <si>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</si>
  <si>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</si>
  <si>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</si>
  <si>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</si>
  <si>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</si>
  <si>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</si>
  <si>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</si>
  <si>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</si>
  <si>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</si>
  <si>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</si>
  <si>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</si>
  <si>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</si>
  <si>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</si>
  <si>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</si>
  <si>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</si>
  <si>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</si>
  <si>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</si>
  <si>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</si>
  <si>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</si>
  <si>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</si>
  <si>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</si>
  <si>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</si>
  <si>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</si>
  <si>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</si>
  <si>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</si>
  <si>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</si>
  <si>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</si>
  <si>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</si>
  <si>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</si>
  <si>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</si>
  <si>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</si>
  <si>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</si>
  <si>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</si>
  <si>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</si>
  <si>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</si>
  <si>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</si>
  <si>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</si>
  <si>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</si>
  <si>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</si>
  <si>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</si>
  <si>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</si>
  <si>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</si>
  <si>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</si>
  <si>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</si>
  <si>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</si>
  <si>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</si>
  <si>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</si>
  <si>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</si>
  <si>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</si>
  <si>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</si>
  <si>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</si>
  <si>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</si>
  <si>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</si>
  <si>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</si>
  <si>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</si>
  <si>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</si>
  <si>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</si>
  <si>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</si>
  <si>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</si>
  <si>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</si>
  <si>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</si>
  <si>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</si>
  <si>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</si>
  <si>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</si>
  <si>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</si>
  <si>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</si>
  <si>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</si>
  <si>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</si>
  <si>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</si>
  <si>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</si>
  <si>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</si>
  <si>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</si>
  <si>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</si>
  <si>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</si>
  <si>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</si>
  <si>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</si>
  <si>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</si>
  <si>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</si>
  <si>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</si>
  <si>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</si>
  <si>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</si>
  <si>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</si>
  <si>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</si>
  <si>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</si>
  <si>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</si>
  <si>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</si>
  <si>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</si>
  <si>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</si>
  <si>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</si>
  <si>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</si>
  <si>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</si>
  <si>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</si>
  <si>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</si>
  <si>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</si>
  <si>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</si>
  <si>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</si>
  <si>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</si>
  <si>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</si>
  <si>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</si>
  <si>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</si>
  <si>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</si>
  <si>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</si>
  <si>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</si>
  <si>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</si>
  <si>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</si>
  <si>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</si>
  <si>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</si>
  <si>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</si>
  <si>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</si>
  <si>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</si>
  <si>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</si>
  <si>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</si>
  <si>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</si>
  <si>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</si>
  <si>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</si>
  <si>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</si>
  <si>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</si>
  <si>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</si>
  <si>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</si>
  <si>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</si>
  <si>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</si>
  <si>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</si>
  <si>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</si>
  <si>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</si>
  <si>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</si>
  <si>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</si>
  <si>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</si>
  <si>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</si>
  <si>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</si>
  <si>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</si>
  <si>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</si>
  <si>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</si>
  <si>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</si>
  <si>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</si>
  <si>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</si>
  <si>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</si>
  <si>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</si>
  <si>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</si>
  <si>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</si>
  <si>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</si>
  <si>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</si>
  <si>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</si>
  <si>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</si>
  <si>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</si>
  <si>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</si>
  <si>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</si>
  <si>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</si>
  <si>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</si>
  <si>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</si>
  <si>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</si>
  <si>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</si>
  <si>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</si>
  <si>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</si>
  <si>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</si>
  <si>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</si>
  <si>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</si>
  <si>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</si>
  <si>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</si>
  <si>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</si>
  <si>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</si>
  <si>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</si>
  <si>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</si>
  <si>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</si>
  <si>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</si>
  <si>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</si>
  <si>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</si>
  <si>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</si>
  <si>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</si>
  <si>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</si>
  <si>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</si>
  <si>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</si>
  <si>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</si>
  <si>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</si>
  <si>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</si>
  <si>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</si>
  <si>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</si>
  <si>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</si>
  <si>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</si>
  <si>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</si>
  <si>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</si>
  <si>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</si>
  <si>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</si>
  <si>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</si>
  <si>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</si>
  <si>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</si>
  <si>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</si>
  <si>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</si>
  <si>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</si>
  <si>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</si>
  <si>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</si>
  <si>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</si>
  <si>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</si>
  <si>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</si>
  <si>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</si>
  <si>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</si>
  <si>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</si>
  <si>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</si>
  <si>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</si>
  <si>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</si>
  <si>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</si>
  <si>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</si>
  <si>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</si>
  <si>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</si>
  <si>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</si>
  <si>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</si>
  <si>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</si>
  <si>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</si>
  <si>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</si>
  <si>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</si>
  <si>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</si>
  <si>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</si>
  <si>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</si>
  <si>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</si>
  <si>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</si>
  <si>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</si>
  <si>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</si>
  <si>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</si>
  <si>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</si>
  <si>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</si>
  <si>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</si>
  <si>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</si>
  <si>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</si>
  <si>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</si>
  <si>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</si>
  <si>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</si>
  <si>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</si>
  <si>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</si>
  <si>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</si>
  <si>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</si>
  <si>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</si>
  <si>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</si>
  <si>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</si>
  <si>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</si>
  <si>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</si>
  <si>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</si>
  <si>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</si>
  <si>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</si>
  <si>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</si>
  <si>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</si>
  <si>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</si>
  <si>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</si>
  <si>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</si>
  <si>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</si>
  <si>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</si>
  <si>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</si>
  <si>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</si>
  <si>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</si>
  <si>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</si>
  <si>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</si>
  <si>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</si>
  <si>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</si>
  <si>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</si>
  <si>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</si>
  <si>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</si>
  <si>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</si>
  <si>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</si>
  <si>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</si>
  <si>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</si>
  <si>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</si>
  <si>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</si>
  <si>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</si>
  <si>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</si>
  <si>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</si>
  <si>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</si>
  <si>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</si>
  <si>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</si>
  <si>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</si>
  <si>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</si>
  <si>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</si>
  <si>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</si>
  <si>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</si>
  <si>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</si>
  <si>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</si>
  <si>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</si>
  <si>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</si>
  <si>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</si>
  <si>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</si>
  <si>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</si>
  <si>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</si>
  <si>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</si>
  <si>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</si>
  <si>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</si>
  <si>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</si>
  <si>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</si>
  <si>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</si>
  <si>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</si>
  <si>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</si>
  <si>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</si>
  <si>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</si>
  <si>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</si>
  <si>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</si>
  <si>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</si>
  <si>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</si>
  <si>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</si>
  <si>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</si>
  <si>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</si>
  <si>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</si>
  <si>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</si>
  <si>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</si>
  <si>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</si>
  <si>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</si>
  <si>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</si>
  <si>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</si>
  <si>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</si>
  <si>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</si>
  <si>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</si>
  <si>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</si>
  <si>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</si>
  <si>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</si>
  <si>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</si>
  <si>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</si>
  <si>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</si>
  <si>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</si>
  <si>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</si>
  <si>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</si>
  <si>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</si>
  <si>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</si>
  <si>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</si>
  <si>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</si>
  <si>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</si>
  <si>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</si>
  <si>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</si>
  <si>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</si>
  <si>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</si>
  <si>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</si>
  <si>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</si>
  <si>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</si>
  <si>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</si>
  <si>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</si>
  <si>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</si>
  <si>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</si>
  <si>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</si>
  <si>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</si>
  <si>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</si>
  <si>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</si>
  <si>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</si>
  <si>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</si>
  <si>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</si>
  <si>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</si>
  <si>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</si>
  <si>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</si>
  <si>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</si>
  <si>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</si>
  <si>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</si>
  <si>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</si>
  <si>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</si>
  <si>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</si>
  <si>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</si>
  <si>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</si>
  <si>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</si>
  <si>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</si>
  <si>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</si>
  <si>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</si>
  <si>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</si>
  <si>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</si>
  <si>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</si>
  <si>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</si>
  <si>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</si>
  <si>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</si>
  <si>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</si>
  <si>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</si>
  <si>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</si>
  <si>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</si>
  <si>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</si>
  <si>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</si>
  <si>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</si>
  <si>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</si>
  <si>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</si>
  <si>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</si>
  <si>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</si>
  <si>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</si>
  <si>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</si>
  <si>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</si>
  <si>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</si>
  <si>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</si>
  <si>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</si>
  <si>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</si>
  <si>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</si>
  <si>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</si>
  <si>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</si>
  <si>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</si>
  <si>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</si>
  <si>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</si>
  <si>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</si>
  <si>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</si>
  <si>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</si>
  <si>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</si>
  <si>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</si>
  <si>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</si>
  <si>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</si>
  <si>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</si>
  <si>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</si>
  <si>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</si>
  <si>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</si>
  <si>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</si>
  <si>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</si>
  <si>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</si>
  <si>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</si>
  <si>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</si>
  <si>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</si>
  <si>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</si>
  <si>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</si>
  <si>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</si>
  <si>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</si>
  <si>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</si>
  <si>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</si>
  <si>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</si>
  <si>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</si>
  <si>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</si>
  <si>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</si>
  <si>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</si>
  <si>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</si>
  <si>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</si>
  <si>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</si>
  <si>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</si>
  <si>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</si>
  <si>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</si>
  <si>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</si>
  <si>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</si>
  <si>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</si>
  <si>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</si>
  <si>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</si>
  <si>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</si>
  <si>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</si>
  <si>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</si>
  <si>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</si>
  <si>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</si>
  <si>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</si>
  <si>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</si>
  <si>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</si>
  <si>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</si>
  <si>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</si>
  <si>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</si>
  <si>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</si>
  <si>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</si>
  <si>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</si>
  <si>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</si>
  <si>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</si>
  <si>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</si>
  <si>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</si>
  <si>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</si>
  <si>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</si>
  <si>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</si>
  <si>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</si>
  <si>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</si>
  <si>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</si>
  <si>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</si>
  <si>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</si>
  <si>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</si>
  <si>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</si>
  <si>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</si>
  <si>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</si>
  <si>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</si>
  <si>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</si>
  <si>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</si>
  <si>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</si>
  <si>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</si>
  <si>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</si>
  <si>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</si>
  <si>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</si>
  <si>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</si>
  <si>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</si>
  <si>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</si>
  <si>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</si>
  <si>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</si>
  <si>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</si>
  <si>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</si>
  <si>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</si>
  <si>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</si>
  <si>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</si>
  <si>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</si>
  <si>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</si>
  <si>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</si>
  <si>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</si>
  <si>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</si>
  <si>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</si>
  <si>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</si>
  <si>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</si>
  <si>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</si>
  <si>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</si>
  <si>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</si>
  <si>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</si>
  <si>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</si>
  <si>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</si>
  <si>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</si>
  <si>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</si>
  <si>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</si>
  <si>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</si>
  <si>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</si>
  <si>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</si>
  <si>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</si>
  <si>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</si>
  <si>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</si>
  <si>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</si>
  <si>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</si>
  <si>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</si>
  <si>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</si>
  <si>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</si>
  <si>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</si>
  <si>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</si>
  <si>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</si>
  <si>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</si>
  <si>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</si>
  <si>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</si>
  <si>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</si>
  <si>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</si>
  <si>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</si>
  <si>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</si>
  <si>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</si>
  <si>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</si>
  <si>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</si>
  <si>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</si>
  <si>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</si>
  <si>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</si>
  <si>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</si>
  <si>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</si>
  <si>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</si>
  <si>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</si>
  <si>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</si>
  <si>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</si>
  <si>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</si>
  <si>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</si>
  <si>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</si>
  <si>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</si>
  <si>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</si>
  <si>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</si>
  <si>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</si>
  <si>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</si>
  <si>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</si>
  <si>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</si>
  <si>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</si>
  <si>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</si>
  <si>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</si>
  <si>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</si>
  <si>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</si>
  <si>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</si>
  <si>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</si>
  <si>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</si>
  <si>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</si>
  <si>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</si>
  <si>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</si>
  <si>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</si>
  <si>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</si>
  <si>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</si>
  <si>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</si>
  <si>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</si>
  <si>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</si>
  <si>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</si>
  <si>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</si>
  <si>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</si>
  <si>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</si>
  <si>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</si>
  <si>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</si>
  <si>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</si>
  <si>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</si>
  <si>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</si>
  <si>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</si>
  <si>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</si>
  <si>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</si>
  <si>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</si>
  <si>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</si>
  <si>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</si>
  <si>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</si>
  <si>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</si>
  <si>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</si>
  <si>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</si>
  <si>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</si>
  <si>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</si>
  <si>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</si>
  <si>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</si>
  <si>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</si>
  <si>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</si>
  <si>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</si>
  <si>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</si>
  <si>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</si>
  <si>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</si>
  <si>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</si>
  <si>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</si>
  <si>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</si>
  <si>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</si>
  <si>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</si>
  <si>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</si>
  <si>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</si>
  <si>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</si>
  <si>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</si>
  <si>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</si>
  <si>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</si>
  <si>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</si>
  <si>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</si>
  <si>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</si>
  <si>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</si>
  <si>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</si>
  <si>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</si>
  <si>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</si>
  <si>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</si>
  <si>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</si>
  <si>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</si>
  <si>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</si>
  <si>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</si>
  <si>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</si>
  <si>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</si>
  <si>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</si>
  <si>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</si>
  <si>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</si>
  <si>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</si>
  <si>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</si>
  <si>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</si>
  <si>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</si>
  <si>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</si>
  <si>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</si>
  <si>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</si>
  <si>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</si>
  <si>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</si>
  <si>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</si>
  <si>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</si>
  <si>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</si>
  <si>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</si>
  <si>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</si>
  <si>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</si>
  <si>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</si>
  <si>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</si>
  <si>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</si>
  <si>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</si>
  <si>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</si>
  <si>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</si>
  <si>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</si>
  <si>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</si>
  <si>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</si>
  <si>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</si>
  <si>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</si>
  <si>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</si>
  <si>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</si>
  <si>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</si>
  <si>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</si>
  <si>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</si>
  <si>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</si>
  <si>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</si>
  <si>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</si>
  <si>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</si>
  <si>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</si>
  <si>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</si>
  <si>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</si>
  <si>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</si>
  <si>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</si>
  <si>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</si>
  <si>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</si>
  <si>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</si>
  <si>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</si>
  <si>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</si>
  <si>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</si>
  <si>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</si>
  <si>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</si>
  <si>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</si>
  <si>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</si>
  <si>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</si>
  <si>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</si>
  <si>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</si>
  <si>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</si>
  <si>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</si>
  <si>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</si>
  <si>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</si>
  <si>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</si>
  <si>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</si>
  <si>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</si>
  <si>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</si>
  <si>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</si>
  <si>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</si>
  <si>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</si>
  <si>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</si>
  <si>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</si>
  <si>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</si>
  <si>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</si>
  <si>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</si>
  <si>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</si>
  <si>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</si>
  <si>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</si>
  <si>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</si>
  <si>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</si>
  <si>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</si>
  <si>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</si>
  <si>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</si>
  <si>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</si>
  <si>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</si>
  <si>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</si>
  <si>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</si>
  <si>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</si>
  <si>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</si>
  <si>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</si>
  <si>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</si>
  <si>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</si>
  <si>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</si>
  <si>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</si>
  <si>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</si>
  <si>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</si>
  <si>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</si>
  <si>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</si>
  <si>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</si>
  <si>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</si>
  <si>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</si>
  <si>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</si>
  <si>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</si>
  <si>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</si>
  <si>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</si>
  <si>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</si>
  <si>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</si>
  <si>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</si>
  <si>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</si>
  <si>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</si>
  <si>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</si>
  <si>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</si>
  <si>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</si>
  <si>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</si>
  <si>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</si>
  <si>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</si>
  <si>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</si>
  <si>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</si>
  <si>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</si>
  <si>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</si>
  <si>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</si>
  <si>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</si>
  <si>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</si>
  <si>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</si>
  <si>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</si>
  <si>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</si>
  <si>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</si>
  <si>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</si>
  <si>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</si>
  <si>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</si>
  <si>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</si>
  <si>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</si>
  <si>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</si>
  <si>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</si>
  <si>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</si>
  <si>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</si>
  <si>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</si>
  <si>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</si>
  <si>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</si>
  <si>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</si>
  <si>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</si>
  <si>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</si>
  <si>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</si>
  <si>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</si>
  <si>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</si>
  <si>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</si>
  <si>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</si>
  <si>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</si>
  <si>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</si>
  <si>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</si>
  <si>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</si>
  <si>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</si>
  <si>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</si>
  <si>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</si>
  <si>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</si>
  <si>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</si>
  <si>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</si>
  <si>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</si>
  <si>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</si>
  <si>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</si>
  <si>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</si>
  <si>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</si>
  <si>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</si>
  <si>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</si>
  <si>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</si>
  <si>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</si>
  <si>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</si>
  <si>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</si>
  <si>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</si>
  <si>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</si>
  <si>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</si>
  <si>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</si>
  <si>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</si>
  <si>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</si>
  <si>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</si>
  <si>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</si>
  <si>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</si>
  <si>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</si>
  <si>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</si>
  <si>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</si>
  <si>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</si>
  <si>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</si>
  <si>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</si>
  <si>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</si>
  <si>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</si>
  <si>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</si>
  <si>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</si>
  <si>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</si>
  <si>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</si>
  <si>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</si>
  <si>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</si>
  <si>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</si>
  <si>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</si>
  <si>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</si>
  <si>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</si>
  <si>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</si>
  <si>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</si>
  <si>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</si>
  <si>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</si>
  <si>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</si>
  <si>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</si>
  <si>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</si>
  <si>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</si>
  <si>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</si>
  <si>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</si>
  <si>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</si>
  <si>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</si>
  <si>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</si>
  <si>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</si>
  <si>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</si>
  <si>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</si>
  <si>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</si>
  <si>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</si>
  <si>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</si>
  <si>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</si>
  <si>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</si>
  <si>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</si>
  <si>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</si>
  <si>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</si>
  <si>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</si>
  <si>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</si>
  <si>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</si>
  <si>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</si>
  <si>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</si>
  <si>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</si>
  <si>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</si>
  <si>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</si>
  <si>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</si>
  <si>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</si>
  <si>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</si>
  <si>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</si>
  <si>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</si>
  <si>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</si>
  <si>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</si>
  <si>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</si>
  <si>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</si>
  <si>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</si>
  <si>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</si>
  <si>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</si>
  <si>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</si>
  <si>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</si>
  <si>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</si>
  <si>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</si>
  <si>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</si>
  <si>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</si>
  <si>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</si>
  <si>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</si>
  <si>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</si>
  <si>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</si>
  <si>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</si>
  <si>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</si>
  <si>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</si>
  <si>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</si>
  <si>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</si>
  <si>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</si>
  <si>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</si>
  <si>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</si>
  <si>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</si>
  <si>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</si>
  <si>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</si>
  <si>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</si>
  <si>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</si>
  <si>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</si>
  <si>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</si>
  <si>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</si>
  <si>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</si>
  <si>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</si>
  <si>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</si>
  <si>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</si>
  <si>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</si>
  <si>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</si>
  <si>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</si>
  <si>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</si>
  <si>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</si>
  <si>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</si>
  <si>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</si>
  <si>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</si>
  <si>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</si>
  <si>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</si>
  <si>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</si>
  <si>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</si>
  <si>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</si>
  <si>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</si>
  <si>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</si>
  <si>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</si>
  <si>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</si>
  <si>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</si>
  <si>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</si>
  <si>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</si>
  <si>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</si>
  <si>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</si>
  <si>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</si>
  <si>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</si>
  <si>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</si>
  <si>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</si>
  <si>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</si>
  <si>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</si>
  <si>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</si>
  <si>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</si>
  <si>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</si>
  <si>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</si>
  <si>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</si>
  <si>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</si>
  <si>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</si>
  <si>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</si>
  <si>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</si>
  <si>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</si>
  <si>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</si>
  <si>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</si>
  <si>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</si>
  <si>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</si>
  <si>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</si>
  <si>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</si>
  <si>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</si>
  <si>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</si>
  <si>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</si>
  <si>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</si>
  <si>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</si>
  <si>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</si>
  <si>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</si>
  <si>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</si>
  <si>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</si>
  <si>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</si>
  <si>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</si>
  <si>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</si>
  <si>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</si>
  <si>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</si>
  <si>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</si>
  <si>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</si>
  <si>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</si>
  <si>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</si>
  <si>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</si>
  <si>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</si>
  <si>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</si>
  <si>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</si>
  <si>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</si>
  <si>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</si>
  <si>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</si>
  <si>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</si>
  <si>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</si>
  <si>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</si>
  <si>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</si>
  <si>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</si>
  <si>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</si>
  <si>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</si>
  <si>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</si>
  <si>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</si>
  <si>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</si>
  <si>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</si>
  <si>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</si>
  <si>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</si>
  <si>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</si>
  <si>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</si>
  <si>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</si>
  <si>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</si>
  <si>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</si>
  <si>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</si>
  <si>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</si>
  <si>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</si>
  <si>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</si>
  <si>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</si>
  <si>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</si>
  <si>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</si>
  <si>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</si>
  <si>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</si>
  <si>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</si>
  <si>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</si>
  <si>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</si>
  <si>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</si>
  <si>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</si>
  <si>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</si>
  <si>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</si>
  <si>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</si>
  <si>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</si>
  <si>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</si>
  <si>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</si>
  <si>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</si>
  <si>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</si>
  <si>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</si>
  <si>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</si>
  <si>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</si>
  <si>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</si>
  <si>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</si>
  <si>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</si>
  <si>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</si>
  <si>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</si>
  <si>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</si>
  <si>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</si>
  <si>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</si>
  <si>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</si>
  <si>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</si>
  <si>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</si>
  <si>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</si>
  <si>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</si>
  <si>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</si>
  <si>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</si>
  <si>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</si>
  <si>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</si>
  <si>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</si>
  <si>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</si>
  <si>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</si>
  <si>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</si>
  <si>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</si>
  <si>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</si>
  <si>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</si>
  <si>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</si>
  <si>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</si>
  <si>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</si>
  <si>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</si>
  <si>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</si>
  <si>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</si>
  <si>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</si>
  <si>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</si>
  <si>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</si>
  <si>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</si>
  <si>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</si>
  <si>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</si>
  <si>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</si>
  <si>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</si>
  <si>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</si>
  <si>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</si>
  <si>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</si>
  <si>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</si>
  <si>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</si>
  <si>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</si>
  <si>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</si>
  <si>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</si>
  <si>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</si>
  <si>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</si>
  <si>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</si>
  <si>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</si>
  <si>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</si>
  <si>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</si>
  <si>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</si>
  <si>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</si>
  <si>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</si>
  <si>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</si>
  <si>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</si>
  <si>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</si>
  <si>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</si>
  <si>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</si>
  <si>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</si>
  <si>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</si>
  <si>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</si>
  <si>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</si>
  <si>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</si>
  <si>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</si>
  <si>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</si>
  <si>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</si>
  <si>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</si>
  <si>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</si>
  <si>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</si>
  <si>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</si>
  <si>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</si>
  <si>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</si>
  <si>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</si>
  <si>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</si>
  <si>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</si>
  <si>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</si>
  <si>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</si>
  <si>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</si>
  <si>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</si>
  <si>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</si>
  <si>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</si>
  <si>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</si>
  <si>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</si>
  <si>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</si>
  <si>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</si>
  <si>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</si>
  <si>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</si>
  <si>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</si>
  <si>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</si>
  <si>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</si>
  <si>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</si>
  <si>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</si>
  <si>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</si>
  <si>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</si>
  <si>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</si>
  <si>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</si>
  <si>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</si>
  <si>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</si>
  <si>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</si>
  <si>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</si>
  <si>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</si>
  <si>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</si>
  <si>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</si>
  <si>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</si>
  <si>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</si>
  <si>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</si>
  <si>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</si>
  <si>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</si>
  <si>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</si>
  <si>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</si>
  <si>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</si>
  <si>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</si>
  <si>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</si>
  <si>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</si>
  <si>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</si>
  <si>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</si>
  <si>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</si>
  <si>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</si>
  <si>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</si>
  <si>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</si>
  <si>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</si>
  <si>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</si>
  <si>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</si>
  <si>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</si>
  <si>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</si>
  <si>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</si>
  <si>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</si>
  <si>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</si>
  <si>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</si>
  <si>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</si>
  <si>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</si>
  <si>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</si>
  <si>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</si>
  <si>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</si>
  <si>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</si>
  <si>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</si>
  <si>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</si>
  <si>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</si>
  <si>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</si>
  <si>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</si>
  <si>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</si>
  <si>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</si>
  <si>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</si>
  <si>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</si>
  <si>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</si>
  <si>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</si>
  <si>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</si>
  <si>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</si>
  <si>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</si>
  <si>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</si>
  <si>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</si>
  <si>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</si>
  <si>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</si>
  <si>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</si>
  <si>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</si>
  <si>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</si>
  <si>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</si>
  <si>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</si>
  <si>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</si>
  <si>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</si>
  <si>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</si>
  <si>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</si>
  <si>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</si>
  <si>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</si>
  <si>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</si>
  <si>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</si>
  <si>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</si>
  <si>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</si>
  <si>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</si>
  <si>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</si>
  <si>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</si>
  <si>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</si>
  <si>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</si>
  <si>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</si>
  <si>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</si>
  <si>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</si>
  <si>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</si>
  <si>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</si>
  <si>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</si>
  <si>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</si>
  <si>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</si>
  <si>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</si>
  <si>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</si>
  <si>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</si>
  <si>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</si>
  <si>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</si>
  <si>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</si>
  <si>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</si>
  <si>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</si>
  <si>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</si>
  <si>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</si>
  <si>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</si>
  <si>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</si>
  <si>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</si>
  <si>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</si>
  <si>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</si>
  <si>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</si>
  <si>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</si>
  <si>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</si>
  <si>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</si>
  <si>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</si>
  <si>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</si>
  <si>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</si>
  <si>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</si>
  <si>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</si>
  <si>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</si>
  <si>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</si>
  <si>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</si>
  <si>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</si>
  <si>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</si>
  <si>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</si>
  <si>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</si>
  <si>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</si>
  <si>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</si>
  <si>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</si>
  <si>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</si>
  <si>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</si>
  <si>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</si>
  <si>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</si>
  <si>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</si>
  <si>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</si>
  <si>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</si>
  <si>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</si>
  <si>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</si>
  <si>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</si>
  <si>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</si>
  <si>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</si>
  <si>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</si>
  <si>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</si>
  <si>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</si>
  <si>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</si>
  <si>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</si>
  <si>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</si>
  <si>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</si>
  <si>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</si>
  <si>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</si>
  <si>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</si>
  <si>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</si>
  <si>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</si>
  <si>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</si>
  <si>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</si>
  <si>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</si>
  <si>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</si>
  <si>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</si>
  <si>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</si>
  <si>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</si>
  <si>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</si>
  <si>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</si>
  <si>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</si>
  <si>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</si>
  <si>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</si>
  <si>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</si>
  <si>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</si>
  <si>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</si>
  <si>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</si>
  <si>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</si>
  <si>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</si>
  <si>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</si>
  <si>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</si>
  <si>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</si>
  <si>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</si>
  <si>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</si>
  <si>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</si>
  <si>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</si>
  <si>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</si>
  <si>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</si>
  <si>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</si>
  <si>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</si>
  <si>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</si>
  <si>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</si>
  <si>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</si>
  <si>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</si>
  <si>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</si>
  <si>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</si>
  <si>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</si>
  <si>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</si>
  <si>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</si>
  <si>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</si>
  <si>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</si>
  <si>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</si>
  <si>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</si>
  <si>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</si>
  <si>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</si>
  <si>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</si>
  <si>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</si>
  <si>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</si>
  <si>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</si>
  <si>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</si>
  <si>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</si>
  <si>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</si>
  <si>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</si>
  <si>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</si>
  <si>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</si>
  <si>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</si>
  <si>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</si>
  <si>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</si>
  <si>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</si>
  <si>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</si>
  <si>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</si>
  <si>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</si>
  <si>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</si>
  <si>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</si>
  <si>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</si>
  <si>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</si>
  <si>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</si>
  <si>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</si>
  <si>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</si>
  <si>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</si>
  <si>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</si>
  <si>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</si>
  <si>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</si>
  <si>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</si>
  <si>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</si>
  <si>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</si>
  <si>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</si>
  <si>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</si>
  <si>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</si>
  <si>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</si>
  <si>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</si>
  <si>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</si>
  <si>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</si>
  <si>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</si>
  <si>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</si>
  <si>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</si>
  <si>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</si>
  <si>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</si>
  <si>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</si>
  <si>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</si>
  <si>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</si>
  <si>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</si>
  <si>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</si>
  <si>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</si>
  <si>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</si>
  <si>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</si>
  <si>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</si>
  <si>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</si>
  <si>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</si>
  <si>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</si>
  <si>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</si>
  <si>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</si>
  <si>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</si>
  <si>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</si>
  <si>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</si>
  <si>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</si>
  <si>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</si>
  <si>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</si>
  <si>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</si>
  <si>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</si>
  <si>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</si>
  <si>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</si>
  <si>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</si>
  <si>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</si>
  <si>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</si>
  <si>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</si>
  <si>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</si>
  <si>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</si>
  <si>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</si>
  <si>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</si>
  <si>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</si>
  <si>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</si>
  <si>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</si>
  <si>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</si>
  <si>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</si>
  <si>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</si>
  <si>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</si>
  <si>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</si>
  <si>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</si>
  <si>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</si>
  <si>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</si>
  <si>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</si>
  <si>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</si>
  <si>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</si>
  <si>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</si>
  <si>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</si>
  <si>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</si>
  <si>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</si>
  <si>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</si>
  <si>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</si>
  <si>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</si>
  <si>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</si>
  <si>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</si>
  <si>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</si>
  <si>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</si>
  <si>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</si>
  <si>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</si>
  <si>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</si>
  <si>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</si>
  <si>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</si>
  <si>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</si>
  <si>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</si>
  <si>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</si>
  <si>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</si>
  <si>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</si>
  <si>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</si>
  <si>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</si>
  <si>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</si>
  <si>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</si>
  <si>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</si>
  <si>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</si>
  <si>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</si>
  <si>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</si>
  <si>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</si>
  <si>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</si>
  <si>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</si>
  <si>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</si>
  <si>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</si>
  <si>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</si>
  <si>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</si>
  <si>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</si>
  <si>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</si>
  <si>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</si>
  <si>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</si>
  <si>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</si>
  <si>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</si>
  <si>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</si>
  <si>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</si>
  <si>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</si>
  <si>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</si>
  <si>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</si>
  <si>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</si>
  <si>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</si>
  <si>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</si>
  <si>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</si>
  <si>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</si>
  <si>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</si>
  <si>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</si>
  <si>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</si>
  <si>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</si>
  <si>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</si>
  <si>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</si>
  <si>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</si>
  <si>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</si>
  <si>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</si>
  <si>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</si>
  <si>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</si>
  <si>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</si>
  <si>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</si>
  <si>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</si>
  <si>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</si>
  <si>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</si>
  <si>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</si>
  <si>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</si>
  <si>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</si>
  <si>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</si>
  <si>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</si>
  <si>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</si>
  <si>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</si>
  <si>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</si>
  <si>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</si>
  <si>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</si>
  <si>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</si>
  <si>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</si>
  <si>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</si>
  <si>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</si>
  <si>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</si>
  <si>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</si>
  <si>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</si>
  <si>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</si>
  <si>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</si>
  <si>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</si>
  <si>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</si>
  <si>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</si>
  <si>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</si>
  <si>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</si>
  <si>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</si>
  <si>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</si>
  <si>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</si>
  <si>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</si>
  <si>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</si>
  <si>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</si>
  <si>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</si>
  <si>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</si>
  <si>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</si>
  <si>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</si>
  <si>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</si>
  <si>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</si>
  <si>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</si>
  <si>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</si>
  <si>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</si>
  <si>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</si>
  <si>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</si>
  <si>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</si>
  <si>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</si>
  <si>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</si>
  <si>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</si>
  <si>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</si>
  <si>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</si>
  <si>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</si>
  <si>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</si>
  <si>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</si>
  <si>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</si>
  <si>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</si>
  <si>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</si>
  <si>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</si>
  <si>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</si>
  <si>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</si>
  <si>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</si>
  <si>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</si>
  <si>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</si>
  <si>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</si>
  <si>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</si>
  <si>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</si>
  <si>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</si>
  <si>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</si>
  <si>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</si>
  <si>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</si>
  <si>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</si>
  <si>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</si>
  <si>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</si>
  <si>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</si>
  <si>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</si>
  <si>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</si>
  <si>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</si>
  <si>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</si>
  <si>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</si>
  <si>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</si>
  <si>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</si>
  <si>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</si>
  <si>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</si>
  <si>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</si>
  <si>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</si>
  <si>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</si>
  <si>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</si>
  <si>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</si>
  <si>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</si>
  <si>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</si>
  <si>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</si>
  <si>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</si>
  <si>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</si>
  <si>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</si>
  <si>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</si>
  <si>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</si>
  <si>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</si>
  <si>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</si>
  <si>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</si>
  <si>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</si>
  <si>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</si>
  <si>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</si>
  <si>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</si>
  <si>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</si>
  <si>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</si>
  <si>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</si>
  <si>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</si>
  <si>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</si>
  <si>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</si>
  <si>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</si>
  <si>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</si>
  <si>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</si>
  <si>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</si>
  <si>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</si>
  <si>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</si>
  <si>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</si>
  <si>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</si>
  <si>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</si>
  <si>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</si>
  <si>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</si>
  <si>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</si>
  <si>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</si>
  <si>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</si>
  <si>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</si>
  <si>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</si>
  <si>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</si>
  <si>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</si>
  <si>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</si>
  <si>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</si>
  <si>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</si>
  <si>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</si>
  <si>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</si>
  <si>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</si>
  <si>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</si>
  <si>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</si>
  <si>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</si>
  <si>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</si>
  <si>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</si>
  <si>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</si>
  <si>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</si>
  <si>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</si>
  <si>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</si>
  <si>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</si>
  <si>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</si>
  <si>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</si>
  <si>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</si>
  <si>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</si>
  <si>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</si>
  <si>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</si>
  <si>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</si>
  <si>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</si>
  <si>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</si>
  <si>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</si>
  <si>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</si>
  <si>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</si>
  <si>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</si>
  <si>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</si>
  <si>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</si>
  <si>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</si>
  <si>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</si>
  <si>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</si>
  <si>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</si>
  <si>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</si>
  <si>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</si>
  <si>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</si>
  <si>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</si>
  <si>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</si>
  <si>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</si>
  <si>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</si>
  <si>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</si>
  <si>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</si>
  <si>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</si>
  <si>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</si>
  <si>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</si>
  <si>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</si>
  <si>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</si>
  <si>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</si>
  <si>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</si>
  <si>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</si>
  <si>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</si>
  <si>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</si>
  <si>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</si>
  <si>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</si>
  <si>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</si>
  <si>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</si>
  <si>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</si>
  <si>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</si>
  <si>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</si>
  <si>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</si>
  <si>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</si>
  <si>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</si>
  <si>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</si>
  <si>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</si>
  <si>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</si>
  <si>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</si>
  <si>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</si>
  <si>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</si>
  <si>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</si>
  <si>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</si>
  <si>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</si>
  <si>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</si>
  <si>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</si>
  <si>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</si>
  <si>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</si>
  <si>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</si>
  <si>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</si>
  <si>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</si>
  <si>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</si>
  <si>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</si>
  <si>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</si>
  <si>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</si>
  <si>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</si>
  <si>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</si>
  <si>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</si>
  <si>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</si>
  <si>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</si>
  <si>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</si>
  <si>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</si>
  <si>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</si>
  <si>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</si>
  <si>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</si>
  <si>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</si>
  <si>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</si>
  <si>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</si>
  <si>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</si>
  <si>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</si>
  <si>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</si>
  <si>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</si>
  <si>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</si>
  <si>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</si>
  <si>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</si>
  <si>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</si>
  <si>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</si>
  <si>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</si>
  <si>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</si>
  <si>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</si>
  <si>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</si>
  <si>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</si>
  <si>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</si>
  <si>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</si>
  <si>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</si>
  <si>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</si>
  <si>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</si>
  <si>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</si>
  <si>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</si>
  <si>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</si>
  <si>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</si>
  <si>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</si>
  <si>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</si>
  <si>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</si>
  <si>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</si>
  <si>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</si>
  <si>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</si>
  <si>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</si>
  <si>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</si>
  <si>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</si>
  <si>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</si>
  <si>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</si>
  <si>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</si>
  <si>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</si>
  <si>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</si>
  <si>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</si>
  <si>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</si>
  <si>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</si>
  <si>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</si>
  <si>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</si>
  <si>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</si>
  <si>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</si>
  <si>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</si>
  <si>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</si>
  <si>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</si>
  <si>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</si>
  <si>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</si>
  <si>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</si>
  <si>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</si>
  <si>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</si>
  <si>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</si>
  <si>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</si>
  <si>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</si>
  <si>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</si>
  <si>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</si>
  <si>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</si>
  <si>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</si>
  <si>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</si>
  <si>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</si>
  <si>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</si>
  <si>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</si>
  <si>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</si>
  <si>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</si>
  <si>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</si>
  <si>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</si>
  <si>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</si>
  <si>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</si>
  <si>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</si>
  <si>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</si>
  <si>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</si>
  <si>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</si>
  <si>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</si>
  <si>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</si>
  <si>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</si>
  <si>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</si>
  <si>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</si>
  <si>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</si>
  <si>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</si>
  <si>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</si>
  <si>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</si>
  <si>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</si>
  <si>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</si>
  <si>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</si>
  <si>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</si>
  <si>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</si>
  <si>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</si>
  <si>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</si>
  <si>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</si>
  <si>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</si>
  <si>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</si>
  <si>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</si>
  <si>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</si>
  <si>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</si>
  <si>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</si>
  <si>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</si>
  <si>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</si>
  <si>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</si>
  <si>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</si>
  <si>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</si>
  <si>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</si>
  <si>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</si>
  <si>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</si>
  <si>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</si>
  <si>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</si>
  <si>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</si>
  <si>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</si>
  <si>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</si>
  <si>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</si>
  <si>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</si>
  <si>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</si>
  <si>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</si>
  <si>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</si>
  <si>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</si>
  <si>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</si>
  <si>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</si>
  <si>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</si>
  <si>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</si>
  <si>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</si>
  <si>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</si>
  <si>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</si>
  <si>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</si>
  <si>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</si>
  <si>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</si>
  <si>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</si>
  <si>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</si>
  <si>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</si>
  <si>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</si>
  <si>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</si>
  <si>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</si>
  <si>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</si>
  <si>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</si>
  <si>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</si>
  <si>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</si>
  <si>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</si>
  <si>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</si>
  <si>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</si>
  <si>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</si>
  <si>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</si>
  <si>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</si>
  <si>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</si>
  <si>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</si>
  <si>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</si>
  <si>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</si>
  <si>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</si>
  <si>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</si>
  <si>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</si>
  <si>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</si>
  <si>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</si>
  <si>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</si>
  <si>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</si>
  <si>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</si>
  <si>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</si>
  <si>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</si>
  <si>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</si>
  <si>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</si>
  <si>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</si>
  <si>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</si>
  <si>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</si>
  <si>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</si>
  <si>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</si>
  <si>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</si>
  <si>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</si>
  <si>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</si>
  <si>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</si>
  <si>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</si>
  <si>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</si>
  <si>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</si>
  <si>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</si>
  <si>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</si>
  <si>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</si>
  <si>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</si>
  <si>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</si>
  <si>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</si>
  <si>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</si>
  <si>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</si>
  <si>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</si>
  <si>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</si>
  <si>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</si>
  <si>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</si>
  <si>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</si>
  <si>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</si>
  <si>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</si>
  <si>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</si>
  <si>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</si>
  <si>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</si>
  <si>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</si>
  <si>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</si>
  <si>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</si>
  <si>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</si>
  <si>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</si>
  <si>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</si>
  <si>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</si>
  <si>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</si>
  <si>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</si>
  <si>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</si>
  <si>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</si>
  <si>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</si>
  <si>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</si>
  <si>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</si>
  <si>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</si>
  <si>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</si>
  <si>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</si>
  <si>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</si>
  <si>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</si>
  <si>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</si>
  <si>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</si>
  <si>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</si>
  <si>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</si>
  <si>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</si>
  <si>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</si>
  <si>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</si>
  <si>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</si>
  <si>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</si>
  <si>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</si>
  <si>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</si>
  <si>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</si>
  <si>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</si>
  <si>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</si>
  <si>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</si>
  <si>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</si>
  <si>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</si>
  <si>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</si>
  <si>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</si>
  <si>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</si>
  <si>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</si>
  <si>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</si>
  <si>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</si>
  <si>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</si>
  <si>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</si>
  <si>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</si>
  <si>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</si>
  <si>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</si>
  <si>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</si>
  <si>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</si>
  <si>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</si>
  <si>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</si>
  <si>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</si>
  <si>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</si>
  <si>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</si>
  <si>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</si>
  <si>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</si>
  <si>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</si>
  <si>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</si>
  <si>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</si>
  <si>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</si>
  <si>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</si>
  <si>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</si>
  <si>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</si>
  <si>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</si>
  <si>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</si>
  <si>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</si>
  <si>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</si>
  <si>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</si>
  <si>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</si>
  <si>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</si>
  <si>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</si>
  <si>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</si>
  <si>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</si>
  <si>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</si>
  <si>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</si>
  <si>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</si>
  <si>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</si>
  <si>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</si>
  <si>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</si>
  <si>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</si>
  <si>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</si>
  <si>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</si>
  <si>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</si>
  <si>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</si>
  <si>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</si>
  <si>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</si>
  <si>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</si>
  <si>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</si>
  <si>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</si>
  <si>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</si>
  <si>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</si>
  <si>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</si>
  <si>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</si>
  <si>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</si>
  <si>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</si>
  <si>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</si>
  <si>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</si>
  <si>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</si>
  <si>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</si>
  <si>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</si>
  <si>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</si>
  <si>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</si>
  <si>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</si>
  <si>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</si>
  <si>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</si>
  <si>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</si>
  <si>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</si>
  <si>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</si>
  <si>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</si>
  <si>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</si>
  <si>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</si>
  <si>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</si>
  <si>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</si>
  <si>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</si>
  <si>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</si>
  <si>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</si>
  <si>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</si>
  <si>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</si>
  <si>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</si>
  <si>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</si>
  <si>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</si>
  <si>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</si>
  <si>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</si>
  <si>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</si>
  <si>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</si>
  <si>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</si>
  <si>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</si>
  <si>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</si>
  <si>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</si>
  <si>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</si>
  <si>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</si>
  <si>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</si>
  <si>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</si>
  <si>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</si>
  <si>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</si>
  <si>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</si>
  <si>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</si>
  <si>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</si>
  <si>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</si>
  <si>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</si>
  <si>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</si>
  <si>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</si>
  <si>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</si>
  <si>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</si>
  <si>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</si>
  <si>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</si>
  <si>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</si>
  <si>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</si>
  <si>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</si>
  <si>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</si>
  <si>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</si>
  <si>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</si>
  <si>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</si>
  <si>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</si>
  <si>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</si>
  <si>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</si>
  <si>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</si>
  <si>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</si>
  <si>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</si>
  <si>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</si>
  <si>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</si>
  <si>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</si>
  <si>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</si>
  <si>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</si>
  <si>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</si>
  <si>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</si>
  <si>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</si>
  <si>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</si>
  <si>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</si>
  <si>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</si>
  <si>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</si>
  <si>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</si>
  <si>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</si>
  <si>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</si>
  <si>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</si>
  <si>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</si>
  <si>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</si>
  <si>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</si>
  <si>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</si>
  <si>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</si>
  <si>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</si>
  <si>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</si>
  <si>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</si>
  <si>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</si>
  <si>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</si>
  <si>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</si>
  <si>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</si>
  <si>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</si>
  <si>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</si>
  <si>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</si>
  <si>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</si>
  <si>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</si>
  <si>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</si>
  <si>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</si>
  <si>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</si>
  <si>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</si>
  <si>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</si>
  <si>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</si>
  <si>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</si>
  <si>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</si>
  <si>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</si>
  <si>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</si>
  <si>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</si>
  <si>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</si>
  <si>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</si>
  <si>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</si>
  <si>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</si>
  <si>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</si>
  <si>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</si>
  <si>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</si>
  <si>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</si>
  <si>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</si>
  <si>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</si>
  <si>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</si>
  <si>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</si>
  <si>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</si>
  <si>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</si>
  <si>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</si>
  <si>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</si>
  <si>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</si>
  <si>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</si>
  <si>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</si>
  <si>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</si>
  <si>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</si>
  <si>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</si>
  <si>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</si>
  <si>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</si>
  <si>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</si>
  <si>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</si>
  <si>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</si>
  <si>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</si>
  <si>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</si>
  <si>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</si>
  <si>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</si>
  <si>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</si>
  <si>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</si>
  <si>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</si>
  <si>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</si>
  <si>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</si>
  <si>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</si>
  <si>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</si>
  <si>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</si>
  <si>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</si>
  <si>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</si>
  <si>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</si>
  <si>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</si>
  <si>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</si>
  <si>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</si>
  <si>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</si>
  <si>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</si>
  <si>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</si>
  <si>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</si>
  <si>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</si>
  <si>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</si>
  <si>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</si>
  <si>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</si>
  <si>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</si>
  <si>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</si>
  <si>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</si>
  <si>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</si>
  <si>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</si>
  <si>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</si>
  <si>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</si>
  <si>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</si>
  <si>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</si>
  <si>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</si>
  <si>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</si>
  <si>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</si>
  <si>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</si>
  <si>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</si>
  <si>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</si>
  <si>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</si>
  <si>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</si>
  <si>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</si>
  <si>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</si>
  <si>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</si>
  <si>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</si>
  <si>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</si>
  <si>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</si>
  <si>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</si>
  <si>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</si>
  <si>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</si>
  <si>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</si>
  <si>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</si>
  <si>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</si>
  <si>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</si>
  <si>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</si>
  <si>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</si>
  <si>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</si>
  <si>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</si>
  <si>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</si>
  <si>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</si>
  <si>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</si>
  <si>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</si>
  <si>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</si>
  <si>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</si>
  <si>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</si>
  <si>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</si>
  <si>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</si>
  <si>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</si>
  <si>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</si>
  <si>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</si>
  <si>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</si>
  <si>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</si>
  <si>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</si>
  <si>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</si>
  <si>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</si>
  <si>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</si>
  <si>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</si>
  <si>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</si>
  <si>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</si>
  <si>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</si>
  <si>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</si>
  <si>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</si>
  <si>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</si>
  <si>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</si>
  <si>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</si>
  <si>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</si>
  <si>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</si>
  <si>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</si>
  <si>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</si>
  <si>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</si>
  <si>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</si>
  <si>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</si>
  <si>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</si>
  <si>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</si>
  <si>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</si>
  <si>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</si>
  <si>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</si>
  <si>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</si>
  <si>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</si>
  <si>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</si>
  <si>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</si>
  <si>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</si>
  <si>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</si>
  <si>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</si>
  <si>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</si>
  <si>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</si>
  <si>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</si>
  <si>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</si>
  <si>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</si>
  <si>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</si>
  <si>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</si>
  <si>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</si>
  <si>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</si>
  <si>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</si>
  <si>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</si>
  <si>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</si>
  <si>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</si>
  <si>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</si>
  <si>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</si>
  <si>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</si>
  <si>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</si>
  <si>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</si>
  <si>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</si>
  <si>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</si>
  <si>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</si>
  <si>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</si>
  <si>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</si>
  <si>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</si>
  <si>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</si>
  <si>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</si>
  <si>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</si>
  <si>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</si>
  <si>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</si>
  <si>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</si>
  <si>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</si>
  <si>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</si>
  <si>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</si>
  <si>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</si>
  <si>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</si>
  <si>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</si>
  <si>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</si>
  <si>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</si>
  <si>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</si>
  <si>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</si>
  <si>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</si>
  <si>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</si>
  <si>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</si>
  <si>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</si>
  <si>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</si>
  <si>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</si>
  <si>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</si>
  <si>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</si>
  <si>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</si>
  <si>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</si>
  <si>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</si>
  <si>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</si>
  <si>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</si>
  <si>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</si>
  <si>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</si>
  <si>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</si>
  <si>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</si>
  <si>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</si>
  <si>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</si>
  <si>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</si>
  <si>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</si>
  <si>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</si>
  <si>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</si>
  <si>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</si>
  <si>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</si>
  <si>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</si>
  <si>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</si>
  <si>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</si>
  <si>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</si>
  <si>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</si>
  <si>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</si>
  <si>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</si>
  <si>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</si>
  <si>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</si>
  <si>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</si>
  <si>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</si>
  <si>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</si>
  <si>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</si>
  <si>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</si>
  <si>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</si>
  <si>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</si>
  <si>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</si>
  <si>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</si>
  <si>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</si>
  <si>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</si>
  <si>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</si>
  <si>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</si>
  <si>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</si>
  <si>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</si>
  <si>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</si>
  <si>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</si>
  <si>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</si>
  <si>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</si>
  <si>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</si>
  <si>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</si>
  <si>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</si>
  <si>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</si>
  <si>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</si>
  <si>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</si>
  <si>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</si>
  <si>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</si>
  <si>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</si>
  <si>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</si>
  <si>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</si>
  <si>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</si>
  <si>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</si>
  <si>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</si>
  <si>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</si>
  <si>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</si>
  <si>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</si>
  <si>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</si>
  <si>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</si>
  <si>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</si>
  <si>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</si>
  <si>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</si>
  <si>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</si>
  <si>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</si>
  <si>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</si>
  <si>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</si>
  <si>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</si>
  <si>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</si>
  <si>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</si>
  <si>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</si>
  <si>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</si>
  <si>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</si>
  <si>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</si>
  <si>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</si>
  <si>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</si>
  <si>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</si>
  <si>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</si>
  <si>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</si>
  <si>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</si>
  <si>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</si>
  <si>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</si>
  <si>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</si>
  <si>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</si>
  <si>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</si>
  <si>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</si>
  <si>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</si>
  <si>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</si>
  <si>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</si>
  <si>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</si>
  <si>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</si>
  <si>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</si>
  <si>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</si>
  <si>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</si>
  <si>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</si>
  <si>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</si>
  <si>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</si>
  <si>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</si>
  <si>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</si>
  <si>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</si>
  <si>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</si>
  <si>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</si>
  <si>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</si>
  <si>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</si>
  <si>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</si>
  <si>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</si>
  <si>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</si>
  <si>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</si>
  <si>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</si>
  <si>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</si>
  <si>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</si>
  <si>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</si>
  <si>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</si>
  <si>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</si>
  <si>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</si>
  <si>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</si>
  <si>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</si>
  <si>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</si>
  <si>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</si>
  <si>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</si>
  <si>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</si>
  <si>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</si>
  <si>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</si>
  <si>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</si>
  <si>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</si>
  <si>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</si>
  <si>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</si>
  <si>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</si>
  <si>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</si>
  <si>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</si>
  <si>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</si>
  <si>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</si>
  <si>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</si>
  <si>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</si>
  <si>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</si>
  <si>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</si>
  <si>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</si>
  <si>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</si>
  <si>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</si>
  <si>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</si>
  <si>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</si>
  <si>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</si>
  <si>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</si>
  <si>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</si>
  <si>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</si>
  <si>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</si>
  <si>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</si>
  <si>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</si>
  <si>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</si>
  <si>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</si>
  <si>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</si>
  <si>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</si>
  <si>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</si>
  <si>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</si>
  <si>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</si>
  <si>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</si>
  <si>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</si>
  <si>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</si>
  <si>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</si>
  <si>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</si>
  <si>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</si>
  <si>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</si>
  <si>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</si>
  <si>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</si>
  <si>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</si>
  <si>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</si>
  <si>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</si>
  <si>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</si>
  <si>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</si>
  <si>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</si>
  <si>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</si>
  <si>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</si>
  <si>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</si>
  <si>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</si>
  <si>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</si>
  <si>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</si>
  <si>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</si>
  <si>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</si>
  <si>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</si>
  <si>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</si>
  <si>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</si>
  <si>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</si>
  <si>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</si>
  <si>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</si>
  <si>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</si>
  <si>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</si>
  <si>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</si>
  <si>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</si>
  <si>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</si>
  <si>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</si>
  <si>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</si>
  <si>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</si>
  <si>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</si>
  <si>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</si>
  <si>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</si>
  <si>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</si>
  <si>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</si>
  <si>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</si>
  <si>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</si>
  <si>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</si>
  <si>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</si>
  <si>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</si>
  <si>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</si>
  <si>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</si>
  <si>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</si>
  <si>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</si>
  <si>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</si>
  <si>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</si>
  <si>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</si>
  <si>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</si>
  <si>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</si>
  <si>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</si>
  <si>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</si>
  <si>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</si>
  <si>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</si>
  <si>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</si>
  <si>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</si>
  <si>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</si>
  <si>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</si>
  <si>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</si>
  <si>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</si>
  <si>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</si>
  <si>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</si>
  <si>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</si>
  <si>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</si>
  <si>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</si>
  <si>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</si>
  <si>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</si>
  <si>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</si>
  <si>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</si>
  <si>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</si>
  <si>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</si>
  <si>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</si>
  <si>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</si>
  <si>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</si>
  <si>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</si>
  <si>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</si>
  <si>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</si>
  <si>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</si>
  <si>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</si>
  <si>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</si>
  <si>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</si>
  <si>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</si>
  <si>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</si>
  <si>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</si>
  <si>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</si>
  <si>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</si>
  <si>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</si>
  <si>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</si>
  <si>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</si>
  <si>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</si>
  <si>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</si>
  <si>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</si>
  <si>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</si>
  <si>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</si>
  <si>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</si>
  <si>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</si>
  <si>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</si>
  <si>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</si>
  <si>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</si>
  <si>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</si>
  <si>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</si>
  <si>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</si>
  <si>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</si>
  <si>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</si>
  <si>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</si>
  <si>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</si>
  <si>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</si>
  <si>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</si>
  <si>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</si>
  <si>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</si>
  <si>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</si>
  <si>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</si>
  <si>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</si>
  <si>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</si>
  <si>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</si>
  <si>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</si>
  <si>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</si>
  <si>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</si>
  <si>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</si>
  <si>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</si>
  <si>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</si>
  <si>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</si>
  <si>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</si>
  <si>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</si>
  <si>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</si>
  <si>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</si>
  <si>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</si>
  <si>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</si>
  <si>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</si>
  <si>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</si>
  <si>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</si>
  <si>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</si>
  <si>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</si>
  <si>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</si>
  <si>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</si>
  <si>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</si>
  <si>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</si>
  <si>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</si>
  <si>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</si>
  <si>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</si>
  <si>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</si>
  <si>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</si>
  <si>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</si>
  <si>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</si>
  <si>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</si>
  <si>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</si>
  <si>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</si>
  <si>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</si>
  <si>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</si>
  <si>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</si>
  <si>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</si>
  <si>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</si>
  <si>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</si>
  <si>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</si>
  <si>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</si>
  <si>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</si>
  <si>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</si>
  <si>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</si>
  <si>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</si>
  <si>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</si>
  <si>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</si>
  <si>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</si>
  <si>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</si>
  <si>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</si>
  <si>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</si>
  <si>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</si>
  <si>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</si>
  <si>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</si>
  <si>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</si>
  <si>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</si>
  <si>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</si>
  <si>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</si>
  <si>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</si>
  <si>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</si>
  <si>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</si>
  <si>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</si>
  <si>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</si>
  <si>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</si>
  <si>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</si>
  <si>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</si>
  <si>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</si>
  <si>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</si>
  <si>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</si>
  <si>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</si>
  <si>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</si>
  <si>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</si>
  <si>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</si>
  <si>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</si>
  <si>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</si>
  <si>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</si>
  <si>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</si>
  <si>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</si>
  <si>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</si>
  <si>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</si>
  <si>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</si>
  <si>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</si>
  <si>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</si>
  <si>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</si>
  <si>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</si>
  <si>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</si>
  <si>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</si>
  <si>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</si>
  <si>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</si>
  <si>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</si>
  <si>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</si>
  <si>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</si>
  <si>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</si>
  <si>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</si>
  <si>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</si>
  <si>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</si>
  <si>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</si>
  <si>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</si>
  <si>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</si>
  <si>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</si>
  <si>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</si>
  <si>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</si>
  <si>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</si>
  <si>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</si>
  <si>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</si>
  <si>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</si>
  <si>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</si>
  <si>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</si>
  <si>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</si>
  <si>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</si>
  <si>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</si>
  <si>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</si>
  <si>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</si>
  <si>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</si>
  <si>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</si>
  <si>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</si>
  <si>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</si>
  <si>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</si>
  <si>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</si>
  <si>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</si>
  <si>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</si>
  <si>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</si>
  <si>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</si>
  <si>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</si>
  <si>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</si>
  <si>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</si>
  <si>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</si>
  <si>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</si>
  <si>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</si>
  <si>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</si>
  <si>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</si>
  <si>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</si>
  <si>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</si>
  <si>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</si>
  <si>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</si>
  <si>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</si>
  <si>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</si>
  <si>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</si>
  <si>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</si>
  <si>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</si>
  <si>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</si>
  <si>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</si>
  <si>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</si>
  <si>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</si>
  <si>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</si>
  <si>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</si>
  <si>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</si>
  <si>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</si>
  <si>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</si>
  <si>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</si>
  <si>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</si>
  <si>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</si>
  <si>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</si>
  <si>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</si>
  <si>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</si>
  <si>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</si>
  <si>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</si>
  <si>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</si>
  <si>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</si>
  <si>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</si>
  <si>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</si>
  <si>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</si>
  <si>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</si>
  <si>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</si>
  <si>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</si>
  <si>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</si>
  <si>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</si>
  <si>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</si>
  <si>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</si>
  <si>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</si>
  <si>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</si>
  <si>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</si>
  <si>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</si>
  <si>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</si>
  <si>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</si>
  <si>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</si>
  <si>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</si>
  <si>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</si>
  <si>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</si>
  <si>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</si>
  <si>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</si>
  <si>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</si>
  <si>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</si>
  <si>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</si>
  <si>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</si>
  <si>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</si>
  <si>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</si>
  <si>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</si>
  <si>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</si>
  <si>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</si>
  <si>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</si>
  <si>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</si>
  <si>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</si>
  <si>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</si>
  <si>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</si>
  <si>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</si>
  <si>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</si>
  <si>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</si>
  <si>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</si>
  <si>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</si>
  <si>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</si>
  <si>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</si>
  <si>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</si>
  <si>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</si>
  <si>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</si>
  <si>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</si>
  <si>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</si>
  <si>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</si>
  <si>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</si>
  <si>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</si>
  <si>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</si>
  <si>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</si>
  <si>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</si>
  <si>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</si>
  <si>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</si>
  <si>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</si>
  <si>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</si>
  <si>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</si>
  <si>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</si>
  <si>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</si>
  <si>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</si>
  <si>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</si>
  <si>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</si>
  <si>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</si>
  <si>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</si>
  <si>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</si>
  <si>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</si>
  <si>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</si>
  <si>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</si>
  <si>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</si>
  <si>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</si>
  <si>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</si>
  <si>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</si>
  <si>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</si>
  <si>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</si>
  <si>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</si>
  <si>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</si>
  <si>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</si>
  <si>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</si>
  <si>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</si>
  <si>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</si>
  <si>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</si>
  <si>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</si>
  <si>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</si>
  <si>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</si>
  <si>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</si>
  <si>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</si>
  <si>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</si>
  <si>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</si>
  <si>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</si>
  <si>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</si>
  <si>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</si>
  <si>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</si>
  <si>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</si>
  <si>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</si>
  <si>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</si>
  <si>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</si>
  <si>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</si>
  <si>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</si>
  <si>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</si>
  <si>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</si>
  <si>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</si>
  <si>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</si>
  <si>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</si>
  <si>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</si>
  <si>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</si>
  <si>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</si>
  <si>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</si>
  <si>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</si>
  <si>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</si>
  <si>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</si>
  <si>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</si>
  <si>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</si>
  <si>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</si>
  <si>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</si>
  <si>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</si>
  <si>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</si>
  <si>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</si>
  <si>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</si>
  <si>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</si>
  <si>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</si>
  <si>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</si>
  <si>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</si>
  <si>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</si>
  <si>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</si>
  <si>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</si>
  <si>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</si>
  <si>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</si>
  <si>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</si>
  <si>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</si>
  <si>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</si>
  <si>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</si>
  <si>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</si>
  <si>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</si>
  <si>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</si>
  <si>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</si>
  <si>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</si>
  <si>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</si>
  <si>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</si>
  <si>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</si>
  <si>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</si>
  <si>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</si>
  <si>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</si>
  <si>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</si>
  <si>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</si>
  <si>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</si>
  <si>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</si>
  <si>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</si>
  <si>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</si>
  <si>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</si>
  <si>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</si>
  <si>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</si>
  <si>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</si>
  <si>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</si>
  <si>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</si>
  <si>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</si>
  <si>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</si>
  <si>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</si>
  <si>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</si>
  <si>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</si>
  <si>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</si>
  <si>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</si>
  <si>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</si>
  <si>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</si>
  <si>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</si>
  <si>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</si>
  <si>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</si>
  <si>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</si>
  <si>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</si>
  <si>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</si>
  <si>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</si>
  <si>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</si>
  <si>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</si>
  <si>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</si>
  <si>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</si>
  <si>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</si>
  <si>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</si>
  <si>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</si>
  <si>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</si>
  <si>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</si>
  <si>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</si>
  <si>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</si>
  <si>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</si>
  <si>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</si>
  <si>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</si>
  <si>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</si>
  <si>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</si>
  <si>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</si>
  <si>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</si>
  <si>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</si>
  <si>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</si>
  <si>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</si>
  <si>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</si>
  <si>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</si>
  <si>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</si>
  <si>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</si>
  <si>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</si>
  <si>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</si>
  <si>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</si>
  <si>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</si>
  <si>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</si>
  <si>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</si>
  <si>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</si>
  <si>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</si>
  <si>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</si>
  <si>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</si>
  <si>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</si>
  <si>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</si>
  <si>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</si>
  <si>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</si>
  <si>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</si>
  <si>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</si>
  <si>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</si>
  <si>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</si>
  <si>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</si>
  <si>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</si>
  <si>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</si>
  <si>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</si>
  <si>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</si>
  <si>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</si>
  <si>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</si>
  <si>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</si>
  <si>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</si>
  <si>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</si>
  <si>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</si>
  <si>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</si>
  <si>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</si>
  <si>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</si>
  <si>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</si>
  <si>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</si>
  <si>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</si>
  <si>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</si>
  <si>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</si>
  <si>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</si>
  <si>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</si>
  <si>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</si>
  <si>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</si>
  <si>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</si>
  <si>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</si>
  <si>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</si>
  <si>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</si>
  <si>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</si>
  <si>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</si>
  <si>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</si>
  <si>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</si>
  <si>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</si>
  <si>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</si>
  <si>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</si>
  <si>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</si>
  <si>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</si>
  <si>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</si>
  <si>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</si>
  <si>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</si>
  <si>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</si>
  <si>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</si>
  <si>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</si>
  <si>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</si>
  <si>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</si>
  <si>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</si>
  <si>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</si>
  <si>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</si>
  <si>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</si>
  <si>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</si>
  <si>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</si>
  <si>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</si>
  <si>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</si>
  <si>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</si>
  <si>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</si>
  <si>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</si>
  <si>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</si>
  <si>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</si>
  <si>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</si>
  <si>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</si>
  <si>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</si>
  <si>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</si>
  <si>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</si>
  <si>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</si>
  <si>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</si>
  <si>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</si>
  <si>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</si>
  <si>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</si>
  <si>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</si>
  <si>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</si>
  <si>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</si>
  <si>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</si>
  <si>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</si>
  <si>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</si>
  <si>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</si>
  <si>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</si>
  <si>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</si>
  <si>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</si>
  <si>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</si>
  <si>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</si>
  <si>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</si>
  <si>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</si>
  <si>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</si>
  <si>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</si>
  <si>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</si>
  <si>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</si>
  <si>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</si>
  <si>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</si>
  <si>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</si>
  <si>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</si>
  <si>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</si>
  <si>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</si>
  <si>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</si>
  <si>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</si>
  <si>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</si>
  <si>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</si>
  <si>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</si>
  <si>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</si>
  <si>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</si>
  <si>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</si>
  <si>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</si>
  <si>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</si>
  <si>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</si>
  <si>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</si>
  <si>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</si>
  <si>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</si>
  <si>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</si>
  <si>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</si>
  <si>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</si>
  <si>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</si>
  <si>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</si>
  <si>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</si>
  <si>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</si>
  <si>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</si>
  <si>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</si>
  <si>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</si>
  <si>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</si>
  <si>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</si>
  <si>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</si>
  <si>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</si>
  <si>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</si>
  <si>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</si>
  <si>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</si>
  <si>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</si>
  <si>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</si>
  <si>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</si>
  <si>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</si>
  <si>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</si>
  <si>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</si>
  <si>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</si>
  <si>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</si>
  <si>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</si>
  <si>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</si>
  <si>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</si>
  <si>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</si>
  <si>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</si>
  <si>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</si>
  <si>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</si>
  <si>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</si>
  <si>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</si>
  <si>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</si>
  <si>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</si>
  <si>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</si>
  <si>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</si>
  <si>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</si>
  <si>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</si>
  <si>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</si>
  <si>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</si>
  <si>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</si>
  <si>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</si>
  <si>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</si>
  <si>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</si>
  <si>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</si>
  <si>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</si>
  <si>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</si>
  <si>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</si>
  <si>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</si>
  <si>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</si>
  <si>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</si>
  <si>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</si>
  <si>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</si>
  <si>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</si>
  <si>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</si>
  <si>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</si>
  <si>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</si>
  <si>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</si>
  <si>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</si>
  <si>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</si>
  <si>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</si>
  <si>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</si>
  <si>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</si>
  <si>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</si>
  <si>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</si>
  <si>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</si>
  <si>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</si>
  <si>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</si>
  <si>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</si>
  <si>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</si>
  <si>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</si>
  <si>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</si>
  <si>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</si>
  <si>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</si>
  <si>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</si>
  <si>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</si>
  <si>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</si>
  <si>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</si>
  <si>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</si>
  <si>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</si>
  <si>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</si>
  <si>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</si>
  <si>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</si>
  <si>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</si>
  <si>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</si>
  <si>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</si>
  <si>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</si>
  <si>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</si>
  <si>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</si>
  <si>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</si>
  <si>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</si>
  <si>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</si>
  <si>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</si>
  <si>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</si>
  <si>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</si>
  <si>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</si>
  <si>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</si>
  <si>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</si>
  <si>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</si>
  <si>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</si>
  <si>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</si>
  <si>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</si>
  <si>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</si>
  <si>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</si>
  <si>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</si>
  <si>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</si>
  <si>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</si>
  <si>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</si>
  <si>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</si>
  <si>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</si>
  <si>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</si>
  <si>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</si>
  <si>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</si>
  <si>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</si>
  <si>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</si>
  <si>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</si>
  <si>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</si>
  <si>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</si>
  <si>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</si>
  <si>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</si>
  <si>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</si>
  <si>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</si>
  <si>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</si>
  <si>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</si>
  <si>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</si>
  <si>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</si>
  <si>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</si>
  <si>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</si>
  <si>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</si>
  <si>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</si>
  <si>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</si>
  <si>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</si>
  <si>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</si>
  <si>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</si>
  <si>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</si>
  <si>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</si>
  <si>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</si>
  <si>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</si>
  <si>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</si>
  <si>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</si>
  <si>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</si>
  <si>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</si>
  <si>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</si>
  <si>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</si>
  <si>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</si>
  <si>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</si>
  <si>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</si>
  <si>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</si>
  <si>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</si>
  <si>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</si>
  <si>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</si>
  <si>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</si>
  <si>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</si>
  <si>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</si>
  <si>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</si>
  <si>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</si>
  <si>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</si>
  <si>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</si>
  <si>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</si>
  <si>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</si>
  <si>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</si>
  <si>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</si>
  <si>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</si>
  <si>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</si>
  <si>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</si>
  <si>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</si>
  <si>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</si>
  <si>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</si>
  <si>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</si>
  <si>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</si>
  <si>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</si>
  <si>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</si>
  <si>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</si>
  <si>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</si>
  <si>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</si>
  <si>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</si>
  <si>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</si>
  <si>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</si>
  <si>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</si>
  <si>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</si>
  <si>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</si>
  <si>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</si>
  <si>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</si>
  <si>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</si>
  <si>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</si>
  <si>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</si>
  <si>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</si>
  <si>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</si>
  <si>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</si>
  <si>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</si>
  <si>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</si>
  <si>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</si>
  <si>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</si>
  <si>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</si>
  <si>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</si>
  <si>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</si>
  <si>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</si>
  <si>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</si>
  <si>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</si>
  <si>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</si>
  <si>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</si>
  <si>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</si>
  <si>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</si>
  <si>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</si>
  <si>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</si>
  <si>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</si>
  <si>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</si>
  <si>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</si>
  <si>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</si>
  <si>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</si>
  <si>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</si>
  <si>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</si>
  <si>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</si>
  <si>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</si>
  <si>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</si>
  <si>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</si>
  <si>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</si>
  <si>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</si>
  <si>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</si>
  <si>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</si>
  <si>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</si>
  <si>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</si>
  <si>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</si>
  <si>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</si>
  <si>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</si>
  <si>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</si>
  <si>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</si>
  <si>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</si>
  <si>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</si>
  <si>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</si>
  <si>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</si>
  <si>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</si>
  <si>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</si>
  <si>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</si>
  <si>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</si>
  <si>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</si>
  <si>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</si>
  <si>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</si>
  <si>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</si>
  <si>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</si>
  <si>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</si>
  <si>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</si>
  <si>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</si>
  <si>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</si>
  <si>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</si>
  <si>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</si>
  <si>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</si>
  <si>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</si>
  <si>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</si>
  <si>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</si>
  <si>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</si>
  <si>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</si>
  <si>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</si>
  <si>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</si>
  <si>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</si>
  <si>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</si>
  <si>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</si>
  <si>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</si>
  <si>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</si>
  <si>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</si>
  <si>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</si>
  <si>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</si>
  <si>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</si>
  <si>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</si>
  <si>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</si>
  <si>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</si>
  <si>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</si>
  <si>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</si>
  <si>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</si>
  <si>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</si>
  <si>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</si>
  <si>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</si>
  <si>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</si>
  <si>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</si>
  <si>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</si>
  <si>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</si>
  <si>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</si>
  <si>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</si>
  <si>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</si>
  <si>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</si>
  <si>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</si>
  <si>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</si>
  <si>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</si>
  <si>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</si>
  <si>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</si>
  <si>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</si>
  <si>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</si>
  <si>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</si>
  <si>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</si>
  <si>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</si>
  <si>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</si>
  <si>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</si>
  <si>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</si>
  <si>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</si>
  <si>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</si>
  <si>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</si>
  <si>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</si>
  <si>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</si>
  <si>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</si>
  <si>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</si>
  <si>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</si>
  <si>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</si>
  <si>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</si>
  <si>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</si>
  <si>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</si>
  <si>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</si>
  <si>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</si>
  <si>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</si>
  <si>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</si>
  <si>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</si>
  <si>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</si>
  <si>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</si>
  <si>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</si>
  <si>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</si>
  <si>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</si>
  <si>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</si>
  <si>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</si>
  <si>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</si>
  <si>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</si>
  <si>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</si>
  <si>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</si>
  <si>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</si>
  <si>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</si>
  <si>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</si>
  <si>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</si>
  <si>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</si>
  <si>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</si>
  <si>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</si>
  <si>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</si>
  <si>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</si>
  <si>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</si>
  <si>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</si>
  <si>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</si>
  <si>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</si>
  <si>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</si>
  <si>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</si>
  <si>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</si>
  <si>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</si>
  <si>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</si>
  <si>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</si>
  <si>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</si>
  <si>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</si>
  <si>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</si>
  <si>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</si>
  <si>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</si>
  <si>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</si>
  <si>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</si>
  <si>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</si>
  <si>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</si>
  <si>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</si>
  <si>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</si>
  <si>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</si>
  <si>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</si>
  <si>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</si>
  <si>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</si>
  <si>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</si>
  <si>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</si>
  <si>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</si>
  <si>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</si>
  <si>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</si>
  <si>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</si>
  <si>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</si>
  <si>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</si>
  <si>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</si>
  <si>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</si>
  <si>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</si>
  <si>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</si>
  <si>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</si>
  <si>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</si>
  <si>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</si>
  <si>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</si>
  <si>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</si>
  <si>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</si>
  <si>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</si>
  <si>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</si>
  <si>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</si>
  <si>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</si>
  <si>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</si>
  <si>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</si>
  <si>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</si>
  <si>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</si>
  <si>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</si>
  <si>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</si>
  <si>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</si>
  <si>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</si>
  <si>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</si>
  <si>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</si>
  <si>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</si>
  <si>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</si>
  <si>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</si>
  <si>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</si>
  <si>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</si>
  <si>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</si>
  <si>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</si>
  <si>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</si>
  <si>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</si>
  <si>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</si>
  <si>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</si>
  <si>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</si>
  <si>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</si>
  <si>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</si>
  <si>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</si>
  <si>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</si>
  <si>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</si>
  <si>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</si>
  <si>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</si>
  <si>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</si>
  <si>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</si>
  <si>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</si>
  <si>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</si>
  <si>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</si>
  <si>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</si>
  <si>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</si>
  <si>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</si>
  <si>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</si>
  <si>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</si>
  <si>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</si>
  <si>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</si>
  <si>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</si>
  <si>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</si>
  <si>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</si>
  <si>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</si>
  <si>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</si>
  <si>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</si>
  <si>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</si>
  <si>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</si>
  <si>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</si>
  <si>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</si>
  <si>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</si>
  <si>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</si>
  <si>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</si>
  <si>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</si>
  <si>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</si>
  <si>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</si>
  <si>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</si>
  <si>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</si>
  <si>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</si>
  <si>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</si>
  <si>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</si>
  <si>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</si>
  <si>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</si>
  <si>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</si>
  <si>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</si>
  <si>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</si>
  <si>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</si>
  <si>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</si>
  <si>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</si>
  <si>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</si>
  <si>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</si>
  <si>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</si>
  <si>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</si>
  <si>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</si>
  <si>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</si>
  <si>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</si>
  <si>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</si>
  <si>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</si>
  <si>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</si>
  <si>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</si>
  <si>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</si>
  <si>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</si>
  <si>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</si>
  <si>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</si>
  <si>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</si>
  <si>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</si>
  <si>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</si>
  <si>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</si>
  <si>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</si>
  <si>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</si>
  <si>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</si>
  <si>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</si>
  <si>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</si>
  <si>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</si>
  <si>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</si>
  <si>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</si>
  <si>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</si>
  <si>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</si>
  <si>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</si>
  <si>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</si>
  <si>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</si>
  <si>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</si>
  <si>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</si>
  <si>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</si>
  <si>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</si>
  <si>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</si>
  <si>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</si>
  <si>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</si>
  <si>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</si>
  <si>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</si>
  <si>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</si>
  <si>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</si>
  <si>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</si>
  <si>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</si>
  <si>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</si>
  <si>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</si>
  <si>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</si>
  <si>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</si>
  <si>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</si>
  <si>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</si>
  <si>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</si>
  <si>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</si>
  <si>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</si>
  <si>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</si>
  <si>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</si>
  <si>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</si>
  <si>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</si>
  <si>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</si>
  <si>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</si>
  <si>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</si>
  <si>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</si>
  <si>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</si>
  <si>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</si>
  <si>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</si>
  <si>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</si>
  <si>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</si>
  <si>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</si>
  <si>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</si>
  <si>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</si>
  <si>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</si>
  <si>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</si>
  <si>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</si>
  <si>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</si>
  <si>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</si>
  <si>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</si>
  <si>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</si>
  <si>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</si>
  <si>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</si>
  <si>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</si>
  <si>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</si>
  <si>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</si>
  <si>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</si>
  <si>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</si>
  <si>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</si>
  <si>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</si>
  <si>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</si>
  <si>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</si>
  <si>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</si>
  <si>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</si>
  <si>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</si>
  <si>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</si>
  <si>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</si>
  <si>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</si>
  <si>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</si>
  <si>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</si>
  <si>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</si>
  <si>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</si>
  <si>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</si>
  <si>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</si>
  <si>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</si>
  <si>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</si>
  <si>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</si>
  <si>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</si>
  <si>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</si>
  <si>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</si>
  <si>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</si>
  <si>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</si>
  <si>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</si>
  <si>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</si>
  <si>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</si>
  <si>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</si>
  <si>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</si>
  <si>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</si>
  <si>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</si>
  <si>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</si>
  <si>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</si>
  <si>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</si>
  <si>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</si>
  <si>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</si>
  <si>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</si>
  <si>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</si>
  <si>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</si>
  <si>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</si>
  <si>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</si>
  <si>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</si>
  <si>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</si>
  <si>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</si>
  <si>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</si>
  <si>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</si>
  <si>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</si>
  <si>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</si>
  <si>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</si>
  <si>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</si>
  <si>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</si>
  <si>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</si>
  <si>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</si>
  <si>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</si>
  <si>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</si>
  <si>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</si>
  <si>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</si>
  <si>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</si>
  <si>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</si>
  <si>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</si>
  <si>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</si>
  <si>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</si>
  <si>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</si>
  <si>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</si>
  <si>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</si>
  <si>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</si>
  <si>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</si>
  <si>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</si>
  <si>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</si>
  <si>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</si>
  <si>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</si>
  <si>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</si>
  <si>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</si>
  <si>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</si>
  <si>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</si>
  <si>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</si>
  <si>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</si>
  <si>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</si>
  <si>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</si>
  <si>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</si>
  <si>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</si>
  <si>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</si>
  <si>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</si>
  <si>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</si>
  <si>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</si>
  <si>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</si>
  <si>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</si>
  <si>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</si>
  <si>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</si>
  <si>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</si>
  <si>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</si>
  <si>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</si>
  <si>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</si>
  <si>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</si>
  <si>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</si>
  <si>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</si>
  <si>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</si>
  <si>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</si>
  <si>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</si>
  <si>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</si>
  <si>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</si>
  <si>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</si>
  <si>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</si>
  <si>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</si>
  <si>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</si>
  <si>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</si>
  <si>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</si>
  <si>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</si>
  <si>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</si>
  <si>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</si>
  <si>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</si>
  <si>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</si>
  <si>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</si>
  <si>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</si>
  <si>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</si>
  <si>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</si>
  <si>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</si>
  <si>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</si>
  <si>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</si>
  <si>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</si>
  <si>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</si>
  <si>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</si>
  <si>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</si>
  <si>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</si>
  <si>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</si>
  <si>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</si>
  <si>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</si>
  <si>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</si>
  <si>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</si>
  <si>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</si>
  <si>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</si>
  <si>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</si>
  <si>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</si>
  <si>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</si>
  <si>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</si>
  <si>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</si>
  <si>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</si>
  <si>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</si>
  <si>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</si>
  <si>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</si>
  <si>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</si>
  <si>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</si>
  <si>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</si>
  <si>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</si>
  <si>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</si>
  <si>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</si>
  <si>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</si>
  <si>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</si>
  <si>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</si>
  <si>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</si>
  <si>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</si>
  <si>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</si>
  <si>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</si>
  <si>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</si>
  <si>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</si>
  <si>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</si>
  <si>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</si>
  <si>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</si>
  <si>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</si>
  <si>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</si>
  <si>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</si>
  <si>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</si>
  <si>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</si>
  <si>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</si>
  <si>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</si>
  <si>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</si>
  <si>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</si>
  <si>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</si>
  <si>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</si>
  <si>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</si>
  <si>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</si>
  <si>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</si>
  <si>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</si>
  <si>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</si>
  <si>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</si>
  <si>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</si>
  <si>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</si>
  <si>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</si>
  <si>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</si>
  <si>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</si>
  <si>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</si>
  <si>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</si>
  <si>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</si>
  <si>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</si>
  <si>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</si>
  <si>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</si>
  <si>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</si>
  <si>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</si>
  <si>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</si>
  <si>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</si>
  <si>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</si>
  <si>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</si>
  <si>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</si>
  <si>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</si>
  <si>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</si>
  <si>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</si>
  <si>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</si>
  <si>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</si>
  <si>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</si>
  <si>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</si>
  <si>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</si>
  <si>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</si>
  <si>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</si>
  <si>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</si>
  <si>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</si>
  <si>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</si>
  <si>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</si>
  <si>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</si>
  <si>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</si>
  <si>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</si>
  <si>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</si>
  <si>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</si>
  <si>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</si>
  <si>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</si>
  <si>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</si>
  <si>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</si>
  <si>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</si>
  <si>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</si>
  <si>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</si>
  <si>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</si>
  <si>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</si>
  <si>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</si>
  <si>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</si>
  <si>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</si>
  <si>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</si>
  <si>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</si>
  <si>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</si>
  <si>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</si>
  <si>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</si>
  <si>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</si>
  <si>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</si>
  <si>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</si>
  <si>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</si>
  <si>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</si>
  <si>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</si>
  <si>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</si>
  <si>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</si>
  <si>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</si>
  <si>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</si>
  <si>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</si>
  <si>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</si>
  <si>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</si>
  <si>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</si>
  <si>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</si>
  <si>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</si>
  <si>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</si>
  <si>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</si>
  <si>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</si>
  <si>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</si>
  <si>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</si>
  <si>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</si>
  <si>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</si>
  <si>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</si>
  <si>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</si>
  <si>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</si>
  <si>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</si>
  <si>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</si>
  <si>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</si>
  <si>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</si>
  <si>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</si>
  <si>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</si>
  <si>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</si>
  <si>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</si>
  <si>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</si>
  <si>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</si>
  <si>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</si>
  <si>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</si>
  <si>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</si>
  <si>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</si>
  <si>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</si>
  <si>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</si>
  <si>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</si>
  <si>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</si>
  <si>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</si>
  <si>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</si>
  <si>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</si>
  <si>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</si>
  <si>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</si>
  <si>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</si>
  <si>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</si>
  <si>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</si>
  <si>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</si>
  <si>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</si>
  <si>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</si>
  <si>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</si>
  <si>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</si>
  <si>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</si>
  <si>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</si>
  <si>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</si>
  <si>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</si>
  <si>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</si>
  <si>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</si>
  <si>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</si>
  <si>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</si>
  <si>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</si>
  <si>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</si>
  <si>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</si>
  <si>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</si>
  <si>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</si>
  <si>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</si>
  <si>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</si>
  <si>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</si>
  <si>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</si>
  <si>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</si>
  <si>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</si>
  <si>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</si>
  <si>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</si>
  <si>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</si>
  <si>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</si>
  <si>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</si>
  <si>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</si>
  <si>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</si>
  <si>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</si>
  <si>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</si>
  <si>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</si>
  <si>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</si>
  <si>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</si>
  <si>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</si>
  <si>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</si>
  <si>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</si>
  <si>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</si>
  <si>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</si>
  <si>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</si>
  <si>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</si>
  <si>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</si>
  <si>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</si>
  <si>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</si>
  <si>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</si>
  <si>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</si>
  <si>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</si>
  <si>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</si>
  <si>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</si>
  <si>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</si>
  <si>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</si>
  <si>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</si>
  <si>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</si>
  <si>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</si>
  <si>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</si>
  <si>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</si>
  <si>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</si>
  <si>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</si>
  <si>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</si>
  <si>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</si>
  <si>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</si>
  <si>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</si>
  <si>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</si>
  <si>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</si>
  <si>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</si>
  <si>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</si>
  <si>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</si>
  <si>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</si>
  <si>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</si>
  <si>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</si>
  <si>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</si>
  <si>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</si>
  <si>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</si>
  <si>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</si>
  <si>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</si>
  <si>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</si>
  <si>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</si>
  <si>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</si>
  <si>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</si>
  <si>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</si>
  <si>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</si>
  <si>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</si>
  <si>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</si>
  <si>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</si>
  <si>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</si>
  <si>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</si>
  <si>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</si>
  <si>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</si>
  <si>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</si>
  <si>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</si>
  <si>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</si>
  <si>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</si>
  <si>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</si>
  <si>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</si>
  <si>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</si>
  <si>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</si>
  <si>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</si>
  <si>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</si>
  <si>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</si>
  <si>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</si>
  <si>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</si>
  <si>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</si>
  <si>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</si>
  <si>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</si>
  <si>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</si>
  <si>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</si>
  <si>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</si>
  <si>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</si>
  <si>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</si>
  <si>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</si>
  <si>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</si>
  <si>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</si>
  <si>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</si>
  <si>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</si>
  <si>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</si>
  <si>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</si>
  <si>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</si>
  <si>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</si>
  <si>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</si>
  <si>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</si>
  <si>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</si>
  <si>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</si>
  <si>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</si>
  <si>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</si>
  <si>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</si>
  <si>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</si>
  <si>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</si>
  <si>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</si>
  <si>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</si>
  <si>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</si>
  <si>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</si>
  <si>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</si>
  <si>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</si>
  <si>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</si>
  <si>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</si>
  <si>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</si>
  <si>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</si>
  <si>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</si>
  <si>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</si>
  <si>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</si>
  <si>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</si>
  <si>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</si>
  <si>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</si>
  <si>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</si>
  <si>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</si>
  <si>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</si>
  <si>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</si>
  <si>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</si>
  <si>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</si>
  <si>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</si>
  <si>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</si>
  <si>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</si>
  <si>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</si>
  <si>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</si>
  <si>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</si>
  <si>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</si>
  <si>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</si>
  <si>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</si>
  <si>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</si>
  <si>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</si>
  <si>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</si>
  <si>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</si>
  <si>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</si>
  <si>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</si>
  <si>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</si>
  <si>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</si>
  <si>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</si>
  <si>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</si>
  <si>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</si>
  <si>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</si>
  <si>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</si>
  <si>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</si>
  <si>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</si>
  <si>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</si>
  <si>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</si>
  <si>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</si>
  <si>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</si>
  <si>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</si>
  <si>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</si>
  <si>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</si>
  <si>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</si>
  <si>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</si>
  <si>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</si>
  <si>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</si>
  <si>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</si>
  <si>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</si>
  <si>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</si>
  <si>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</si>
  <si>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</si>
  <si>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</si>
  <si>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</si>
  <si>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</si>
  <si>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</si>
  <si>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</si>
  <si>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</si>
  <si>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</si>
  <si>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</si>
  <si>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</si>
  <si>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</si>
  <si>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</si>
  <si>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</si>
  <si>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</si>
  <si>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</si>
  <si>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</si>
  <si>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</si>
  <si>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</si>
  <si>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</si>
  <si>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</si>
  <si>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</si>
  <si>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</si>
  <si>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</si>
  <si>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</si>
  <si>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</si>
  <si>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</si>
  <si>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</si>
  <si>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</si>
  <si>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</si>
  <si>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</si>
  <si>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</si>
  <si>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</si>
  <si>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</si>
  <si>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</si>
  <si>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</si>
  <si>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</si>
  <si>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</si>
  <si>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</si>
  <si>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</si>
  <si>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</si>
  <si>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</si>
  <si>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</si>
  <si>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</si>
  <si>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</si>
  <si>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</si>
  <si>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</si>
  <si>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</si>
  <si>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</si>
  <si>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</si>
  <si>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</si>
  <si>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</si>
  <si>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</si>
  <si>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</si>
  <si>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</si>
  <si>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</si>
  <si>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</si>
  <si>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</si>
  <si>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</si>
  <si>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</si>
  <si>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</si>
  <si>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</si>
  <si>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</si>
  <si>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</si>
  <si>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</si>
  <si>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</si>
  <si>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</si>
  <si>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</si>
  <si>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</si>
  <si>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</si>
  <si>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</si>
  <si>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</si>
  <si>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</si>
  <si>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</si>
  <si>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</si>
  <si>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</si>
  <si>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</si>
  <si>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</si>
  <si>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</si>
  <si>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</si>
  <si>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</si>
  <si>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</si>
  <si>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</si>
  <si>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</si>
  <si>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</si>
  <si>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</si>
  <si>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</si>
  <si>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</si>
  <si>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</si>
  <si>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</si>
  <si>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</si>
  <si>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</si>
  <si>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</si>
  <si>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</si>
  <si>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</si>
  <si>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</si>
  <si>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</si>
  <si>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</si>
  <si>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</si>
  <si>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</si>
  <si>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</si>
  <si>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</si>
  <si>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</si>
  <si>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</si>
  <si>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</si>
  <si>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</si>
  <si>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</si>
  <si>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</si>
  <si>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</si>
  <si>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</si>
  <si>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</si>
  <si>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</si>
  <si>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</si>
  <si>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</si>
  <si>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</si>
  <si>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</si>
  <si>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</si>
  <si>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</si>
  <si>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</si>
  <si>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</si>
  <si>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</si>
  <si>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</si>
  <si>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</si>
  <si>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</si>
  <si>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</si>
  <si>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</si>
  <si>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</si>
  <si>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</si>
  <si>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</si>
  <si>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</si>
  <si>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</si>
  <si>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</si>
  <si>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</si>
  <si>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</si>
  <si>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</si>
  <si>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</si>
  <si>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</si>
  <si>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</si>
  <si>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</si>
  <si>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</si>
  <si>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</si>
  <si>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</si>
  <si>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</si>
  <si>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</si>
  <si>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</si>
  <si>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</si>
  <si>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</si>
  <si>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</si>
  <si>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</si>
  <si>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</si>
  <si>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</si>
  <si>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</si>
  <si>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</si>
  <si>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</si>
  <si>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</si>
  <si>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</si>
  <si>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</si>
  <si>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</si>
  <si>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</si>
  <si>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</si>
  <si>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</si>
  <si>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</si>
  <si>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</si>
  <si>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</si>
  <si>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</si>
  <si>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</si>
  <si>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</si>
  <si>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</si>
  <si>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</si>
  <si>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</si>
  <si>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</si>
  <si>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</si>
  <si>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</si>
  <si>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</si>
  <si>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</si>
  <si>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</si>
  <si>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</si>
  <si>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</si>
  <si>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</si>
  <si>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</si>
  <si>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</si>
  <si>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</si>
  <si>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</si>
  <si>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</si>
  <si>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</si>
  <si>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</si>
  <si>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</si>
  <si>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</si>
  <si>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</si>
  <si>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</si>
  <si>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</si>
  <si>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</si>
  <si>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</si>
  <si>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</si>
  <si>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</si>
  <si>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</si>
  <si>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</si>
  <si>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</si>
  <si>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</si>
  <si>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</si>
  <si>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</si>
  <si>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</si>
  <si>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</si>
  <si>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</si>
  <si>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</si>
  <si>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</si>
  <si>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</si>
  <si>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</si>
  <si>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</si>
  <si>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</si>
  <si>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</si>
  <si>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</si>
  <si>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</si>
  <si>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</si>
  <si>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</si>
  <si>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</si>
  <si>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</si>
  <si>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</si>
  <si>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</si>
  <si>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</si>
  <si>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</si>
  <si>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</si>
  <si>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</si>
  <si>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</si>
  <si>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</si>
  <si>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</si>
  <si>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</si>
  <si>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</si>
  <si>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</si>
  <si>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</si>
  <si>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</si>
  <si>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</si>
  <si>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</si>
  <si>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</si>
  <si>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</si>
  <si>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</si>
  <si>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</si>
  <si>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</si>
  <si>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</si>
  <si>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</si>
  <si>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</si>
  <si>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</si>
  <si>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</si>
  <si>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</si>
  <si>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</si>
  <si>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</si>
  <si>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</si>
  <si>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</si>
  <si>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</si>
  <si>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</si>
  <si>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</si>
  <si>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</si>
  <si>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</si>
  <si>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</si>
  <si>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</si>
  <si>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</si>
  <si>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</si>
  <si>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</si>
  <si>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</si>
  <si>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</si>
  <si>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</si>
  <si>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</si>
  <si>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</si>
  <si>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</si>
  <si>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</si>
  <si>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</si>
  <si>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</si>
  <si>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</si>
  <si>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</si>
  <si>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</si>
  <si>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</si>
  <si>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</si>
  <si>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</si>
  <si>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</si>
  <si>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</si>
  <si>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</si>
  <si>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</si>
  <si>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</si>
  <si>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</si>
  <si>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</si>
  <si>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</si>
  <si>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</si>
  <si>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</si>
  <si>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</si>
  <si>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</si>
  <si>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</si>
  <si>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</si>
  <si>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</si>
  <si>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</si>
  <si>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</si>
  <si>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</si>
  <si>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</si>
  <si>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</si>
  <si>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</si>
  <si>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</si>
  <si>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</si>
  <si>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</si>
  <si>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</si>
  <si>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</si>
  <si>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</si>
  <si>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</si>
  <si>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</si>
  <si>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</si>
  <si>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</si>
  <si>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</si>
  <si>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</si>
  <si>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</si>
  <si>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</si>
  <si>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</si>
  <si>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</si>
  <si>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</si>
  <si>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</si>
  <si>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</si>
  <si>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</si>
  <si>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</si>
  <si>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</si>
  <si>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</si>
  <si>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</si>
  <si>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</si>
  <si>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</si>
  <si>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</si>
  <si>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</si>
  <si>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</si>
  <si>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</si>
  <si>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</si>
  <si>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</si>
  <si>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</si>
  <si>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</si>
  <si>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</si>
  <si>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</si>
  <si>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</si>
  <si>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</si>
  <si>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</si>
  <si>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</si>
  <si>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</si>
  <si>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</si>
  <si>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</si>
  <si>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</si>
  <si>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</si>
  <si>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</si>
  <si>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</si>
  <si>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</si>
  <si>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</si>
  <si>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</si>
  <si>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</si>
  <si>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</si>
  <si>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</si>
  <si>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</si>
  <si>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</si>
  <si>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</si>
  <si>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</si>
  <si>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</si>
  <si>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</si>
  <si>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</si>
  <si>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</si>
  <si>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</si>
  <si>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</si>
  <si>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</si>
  <si>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</si>
  <si>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</si>
  <si>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</si>
  <si>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</si>
  <si>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</si>
  <si>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</si>
  <si>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</si>
  <si>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</si>
  <si>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</si>
  <si>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</si>
  <si>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</si>
  <si>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</si>
  <si>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</si>
  <si>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</si>
  <si>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</si>
  <si>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</si>
  <si>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</si>
  <si>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</si>
  <si>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</si>
  <si>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</si>
  <si>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</si>
  <si>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</si>
  <si>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</si>
  <si>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</si>
  <si>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</si>
  <si>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</si>
  <si>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</si>
  <si>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</si>
  <si>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</si>
  <si>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</si>
  <si>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</si>
  <si>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</si>
  <si>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</si>
  <si>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</si>
  <si>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</si>
  <si>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</si>
  <si>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</si>
  <si>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</si>
  <si>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</si>
  <si>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</si>
  <si>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</si>
  <si>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</si>
  <si>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</si>
  <si>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</si>
  <si>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</si>
  <si>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</si>
  <si>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</si>
  <si>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</si>
  <si>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</si>
  <si>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</si>
  <si>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</si>
  <si>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</si>
  <si>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</si>
  <si>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</si>
  <si>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</si>
  <si>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</si>
  <si>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</si>
  <si>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</si>
  <si>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</si>
  <si>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</si>
  <si>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</si>
  <si>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</si>
  <si>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</si>
  <si>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</si>
  <si>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</si>
  <si>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</si>
  <si>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</si>
  <si>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</si>
  <si>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</si>
  <si>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</si>
  <si>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</si>
  <si>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</si>
  <si>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</si>
  <si>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</si>
  <si>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</si>
  <si>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</si>
  <si>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</si>
  <si>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</si>
  <si>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</si>
  <si>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</si>
  <si>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</si>
  <si>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</si>
  <si>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</si>
  <si>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</si>
  <si>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</si>
  <si>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</si>
  <si>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</si>
  <si>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</si>
  <si>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</si>
  <si>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</si>
  <si>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</si>
  <si>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</si>
  <si>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</si>
  <si>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</si>
  <si>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</si>
  <si>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</si>
  <si>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</si>
  <si>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</si>
  <si>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</si>
  <si>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</si>
  <si>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</si>
  <si>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</si>
  <si>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</si>
  <si>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</si>
  <si>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</si>
  <si>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</si>
  <si>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</si>
  <si>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</si>
  <si>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</si>
  <si>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</si>
  <si>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</si>
  <si>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</si>
  <si>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</si>
  <si>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</si>
  <si>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</si>
  <si>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</si>
  <si>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</si>
  <si>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</si>
  <si>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</si>
  <si>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</si>
  <si>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</si>
  <si>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</si>
  <si>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</si>
  <si>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</si>
  <si>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</si>
  <si>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</si>
  <si>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</si>
  <si>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</si>
  <si>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</si>
  <si>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</si>
  <si>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</si>
  <si>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</si>
  <si>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</si>
  <si>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</si>
  <si>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</si>
  <si>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</si>
  <si>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</si>
  <si>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</si>
  <si>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</si>
  <si>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</si>
  <si>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</si>
  <si>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</si>
  <si>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</si>
  <si>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</si>
  <si>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</si>
  <si>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</si>
  <si>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</si>
  <si>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</si>
  <si>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</si>
  <si>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</si>
  <si>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</si>
  <si>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</si>
  <si>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</si>
  <si>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</si>
  <si>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</si>
  <si>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</si>
  <si>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</si>
  <si>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</si>
  <si>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</si>
  <si>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</si>
  <si>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</si>
  <si>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</si>
  <si>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</si>
  <si>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</si>
  <si>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</si>
  <si>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</si>
  <si>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</si>
  <si>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</si>
  <si>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</si>
  <si>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</si>
  <si>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</si>
  <si>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</si>
  <si>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</si>
  <si>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</si>
  <si>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</si>
  <si>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</si>
  <si>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</si>
  <si>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</si>
  <si>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</si>
  <si>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</si>
  <si>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</si>
  <si>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</si>
  <si>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</si>
  <si>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</si>
  <si>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</si>
  <si>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</si>
  <si>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</si>
  <si>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</si>
  <si>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</si>
  <si>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</si>
  <si>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</si>
  <si>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</si>
  <si>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</si>
  <si>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</si>
  <si>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</si>
  <si>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</si>
  <si>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</si>
  <si>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</si>
  <si>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</si>
  <si>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</si>
  <si>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</si>
  <si>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</si>
  <si>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</si>
  <si>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</si>
  <si>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</si>
  <si>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</si>
  <si>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</si>
  <si>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</si>
  <si>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</si>
  <si>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</si>
  <si>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</si>
  <si>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</si>
  <si>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</si>
  <si>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</si>
  <si>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</si>
  <si>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</si>
  <si>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</si>
  <si>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</si>
  <si>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</si>
  <si>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</si>
  <si>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</si>
  <si>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</si>
  <si>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</si>
  <si>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</si>
  <si>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</si>
  <si>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</si>
  <si>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</si>
  <si>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</si>
  <si>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</si>
  <si>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</si>
  <si>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</si>
  <si>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</si>
  <si>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</si>
  <si>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</si>
  <si>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</si>
  <si>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</si>
  <si>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</si>
  <si>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</si>
  <si>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</si>
  <si>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</si>
  <si>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</si>
  <si>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</si>
  <si>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</si>
  <si>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</si>
  <si>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</si>
  <si>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</si>
  <si>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</si>
  <si>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</si>
  <si>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</si>
  <si>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</si>
  <si>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</si>
  <si>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</si>
  <si>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</si>
  <si>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</si>
  <si>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</si>
  <si>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</si>
  <si>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</si>
  <si>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</si>
  <si>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</si>
  <si>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</si>
  <si>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</si>
  <si>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</si>
  <si>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</si>
  <si>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</si>
  <si>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</si>
  <si>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</si>
  <si>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</si>
  <si>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</si>
  <si>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</si>
  <si>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</si>
  <si>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</si>
  <si>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</si>
  <si>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</si>
  <si>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</si>
  <si>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</si>
  <si>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</si>
  <si>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</si>
  <si>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</si>
  <si>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</si>
  <si>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</si>
  <si>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</si>
  <si>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</si>
  <si>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</si>
  <si>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</si>
  <si>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</si>
  <si>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</si>
  <si>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</si>
  <si>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</si>
  <si>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</si>
  <si>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</si>
  <si>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</si>
  <si>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</si>
  <si>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</si>
  <si>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</si>
  <si>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</si>
  <si>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</si>
  <si>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</si>
  <si>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</si>
  <si>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</si>
  <si>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</si>
  <si>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</si>
  <si>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</si>
  <si>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</si>
  <si>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</si>
  <si>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</si>
  <si>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</si>
  <si>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</si>
  <si>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</si>
  <si>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</si>
  <si>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</si>
  <si>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</si>
  <si>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</si>
  <si>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</si>
  <si>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</si>
  <si>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</si>
  <si>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</si>
  <si>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</si>
  <si>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</si>
  <si>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</si>
  <si>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</si>
  <si>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</si>
  <si>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</si>
  <si>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</si>
  <si>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</si>
  <si>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</si>
  <si>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</si>
  <si>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</si>
  <si>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</si>
  <si>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</si>
  <si>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</si>
  <si>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</si>
  <si>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</si>
  <si>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</si>
  <si>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</si>
  <si>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</si>
  <si>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</si>
  <si>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</si>
  <si>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</si>
  <si>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</si>
  <si>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</si>
  <si>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</si>
  <si>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</si>
  <si>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</si>
  <si>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</si>
  <si>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</si>
  <si>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</si>
  <si>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</si>
  <si>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</si>
  <si>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</si>
  <si>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</si>
  <si>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</si>
  <si>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</si>
  <si>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</si>
  <si>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</si>
  <si>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</si>
  <si>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</si>
  <si>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</si>
  <si>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</si>
  <si>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</si>
  <si>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</si>
  <si>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</si>
  <si>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</si>
  <si>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</si>
  <si>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</si>
  <si>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</si>
  <si>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</si>
  <si>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</si>
  <si>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</si>
  <si>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</si>
  <si>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</si>
  <si>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</si>
  <si>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</si>
  <si>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</si>
  <si>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</si>
  <si>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</si>
  <si>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</si>
  <si>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</si>
  <si>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</si>
  <si>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</si>
  <si>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</si>
  <si>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</si>
  <si>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</si>
  <si>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</si>
  <si>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</si>
  <si>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</si>
  <si>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</si>
  <si>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</si>
  <si>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</si>
  <si>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</si>
  <si>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</si>
  <si>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</si>
  <si>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</si>
  <si>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</si>
  <si>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</si>
  <si>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</si>
  <si>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</si>
  <si>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</si>
  <si>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</si>
  <si>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</si>
  <si>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</si>
  <si>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</si>
  <si>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</si>
  <si>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</si>
  <si>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</si>
  <si>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</si>
  <si>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</si>
  <si>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</si>
  <si>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</si>
  <si>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</si>
  <si>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</si>
  <si>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</si>
  <si>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</si>
  <si>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</si>
  <si>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</si>
  <si>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</si>
  <si>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</si>
  <si>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</si>
  <si>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</si>
  <si>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</si>
  <si>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</si>
  <si>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</si>
  <si>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</si>
  <si>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</si>
  <si>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</si>
  <si>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</si>
  <si>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</si>
  <si>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</si>
  <si>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</si>
  <si>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</si>
  <si>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</si>
  <si>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</si>
  <si>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</si>
  <si>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</si>
  <si>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</si>
  <si>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</si>
  <si>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</si>
  <si>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</si>
  <si>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</si>
  <si>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</si>
  <si>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</si>
  <si>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</si>
  <si>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</si>
  <si>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</si>
  <si>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</si>
  <si>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</si>
  <si>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</si>
  <si>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</si>
  <si>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</si>
  <si>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</si>
  <si>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</si>
  <si>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</si>
  <si>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</si>
  <si>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</si>
  <si>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</si>
  <si>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</si>
  <si>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</si>
  <si>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</si>
  <si>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</si>
  <si>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</si>
  <si>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</si>
  <si>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</si>
  <si>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</si>
  <si>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</si>
  <si>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</si>
  <si>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</si>
  <si>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</si>
  <si>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</si>
  <si>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</si>
  <si>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</si>
  <si>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</si>
  <si>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</si>
  <si>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</si>
  <si>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</si>
  <si>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</si>
  <si>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</si>
  <si>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</si>
  <si>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</si>
  <si>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</si>
  <si>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</si>
  <si>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</si>
  <si>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</si>
  <si>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</si>
  <si>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</si>
  <si>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</si>
  <si>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</si>
  <si>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</si>
  <si>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</si>
  <si>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</si>
  <si>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</si>
  <si>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</si>
  <si>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</si>
  <si>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</si>
  <si>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</si>
  <si>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</si>
  <si>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</si>
  <si>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</si>
  <si>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</si>
  <si>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</si>
  <si>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</si>
  <si>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</si>
  <si>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</si>
  <si>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</si>
  <si>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</si>
  <si>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</si>
  <si>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</si>
  <si>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</si>
  <si>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</si>
  <si>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</si>
  <si>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</si>
  <si>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</si>
  <si>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</si>
  <si>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</si>
  <si>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</si>
  <si>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</si>
  <si>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</si>
  <si>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</si>
  <si>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</si>
  <si>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</si>
  <si>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</si>
  <si>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</si>
  <si>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</si>
  <si>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</si>
  <si>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</si>
  <si>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</si>
  <si>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</si>
  <si>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</si>
  <si>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</si>
  <si>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</si>
  <si>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</si>
  <si>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</si>
  <si>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</si>
  <si>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</si>
  <si>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</si>
  <si>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</si>
  <si>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</si>
  <si>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</si>
  <si>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</si>
  <si>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</si>
  <si>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</si>
  <si>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</si>
  <si>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</si>
  <si>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</si>
  <si>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</si>
  <si>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</si>
  <si>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</si>
  <si>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</si>
  <si>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</si>
  <si>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</si>
  <si>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</si>
  <si>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</si>
  <si>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</si>
  <si>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</si>
  <si>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</si>
  <si>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</si>
  <si>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</si>
  <si>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</si>
  <si>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</si>
  <si>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</si>
  <si>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</si>
  <si>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</si>
  <si>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</si>
  <si>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</si>
  <si>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</si>
  <si>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</si>
  <si>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</si>
  <si>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</si>
  <si>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</si>
  <si>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</si>
  <si>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</si>
  <si>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</si>
  <si>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</si>
  <si>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</si>
  <si>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</si>
  <si>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</si>
  <si>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</si>
  <si>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</si>
  <si>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</si>
  <si>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</si>
  <si>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</si>
  <si>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</si>
  <si>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</si>
  <si>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</si>
  <si>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</si>
  <si>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</si>
  <si>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</si>
  <si>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</si>
  <si>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</si>
  <si>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</si>
  <si>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</si>
  <si>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</si>
  <si>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</si>
  <si>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</si>
  <si>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</si>
  <si>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</si>
  <si>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</si>
  <si>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</si>
  <si>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</si>
  <si>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</si>
  <si>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</si>
  <si>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</si>
  <si>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</si>
  <si>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</si>
  <si>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</si>
  <si>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</si>
  <si>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</si>
  <si>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</si>
  <si>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</si>
  <si>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</si>
  <si>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</si>
  <si>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</si>
  <si>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</si>
  <si>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</si>
  <si>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</si>
  <si>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</si>
  <si>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</si>
  <si>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</si>
  <si>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</si>
  <si>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</si>
  <si>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</si>
  <si>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</si>
  <si>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</si>
  <si>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</si>
  <si>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</si>
  <si>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</si>
  <si>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</si>
  <si>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</si>
  <si>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</si>
  <si>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</si>
  <si>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</si>
  <si>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</si>
  <si>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</si>
  <si>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</si>
  <si>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</si>
  <si>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</si>
  <si>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</si>
  <si>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</si>
  <si>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</si>
  <si>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</si>
  <si>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</si>
  <si>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</si>
  <si>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</si>
  <si>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</si>
  <si>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</si>
  <si>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</si>
  <si>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</si>
  <si>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</si>
  <si>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</si>
  <si>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</si>
  <si>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</si>
  <si>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</si>
  <si>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</si>
  <si>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</si>
  <si>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</si>
  <si>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</si>
  <si>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</si>
  <si>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</si>
  <si>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</si>
  <si>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</si>
  <si>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</si>
  <si>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</si>
  <si>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</si>
  <si>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</si>
  <si>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</si>
  <si>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</si>
  <si>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</si>
  <si>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</si>
  <si>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</si>
  <si>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</si>
  <si>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</si>
  <si>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</si>
  <si>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</si>
  <si>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</si>
  <si>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</si>
  <si>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</si>
  <si>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</si>
  <si>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</si>
  <si>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</si>
  <si>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</si>
  <si>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</si>
  <si>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</si>
  <si>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</si>
  <si>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</si>
  <si>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</si>
  <si>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</si>
  <si>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</si>
  <si>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</si>
  <si>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</si>
  <si>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</si>
  <si>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</si>
  <si>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</si>
  <si>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</si>
  <si>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</si>
  <si>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</si>
  <si>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</si>
  <si>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</si>
  <si>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</si>
  <si>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</si>
  <si>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</si>
  <si>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</si>
  <si>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</si>
  <si>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</si>
  <si>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</si>
  <si>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</si>
  <si>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</si>
  <si>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</si>
  <si>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</si>
  <si>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</si>
  <si>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</si>
  <si>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</si>
  <si>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</si>
  <si>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</si>
  <si>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</si>
  <si>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</si>
  <si>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</si>
  <si>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</si>
  <si>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</si>
  <si>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</si>
  <si>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</si>
  <si>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</si>
  <si>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</si>
  <si>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</si>
  <si>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</si>
  <si>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</si>
  <si>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</si>
  <si>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</si>
  <si>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</si>
  <si>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</si>
  <si>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</si>
  <si>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</si>
  <si>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</si>
  <si>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</si>
  <si>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</si>
  <si>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</si>
  <si>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</si>
  <si>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</si>
  <si>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</si>
  <si>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</si>
  <si>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</si>
  <si>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</si>
  <si>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</si>
  <si>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</si>
  <si>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</si>
  <si>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</si>
  <si>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</si>
  <si>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</si>
  <si>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</si>
  <si>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</si>
  <si>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</si>
  <si>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</si>
  <si>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</si>
  <si>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</si>
  <si>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</si>
  <si>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</si>
  <si>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</si>
  <si>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</si>
  <si>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</si>
  <si>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</si>
  <si>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</si>
  <si>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</si>
  <si>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</si>
  <si>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</si>
  <si>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</si>
  <si>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</si>
  <si>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</si>
  <si>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</si>
  <si>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</si>
  <si>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</si>
  <si>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</si>
  <si>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</si>
  <si>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</si>
  <si>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</si>
  <si>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</si>
  <si>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</si>
  <si>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</si>
  <si>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</si>
  <si>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</si>
  <si>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</si>
  <si>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</si>
  <si>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</si>
  <si>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</si>
  <si>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</si>
  <si>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</si>
  <si>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</si>
  <si>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</si>
  <si>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</si>
  <si>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</si>
  <si>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</si>
  <si>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</si>
  <si>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</si>
  <si>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</si>
  <si>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</si>
  <si>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</si>
  <si>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</si>
  <si>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</si>
  <si>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</si>
  <si>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</si>
  <si>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</si>
  <si>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</si>
  <si>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</si>
  <si>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</si>
  <si>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</si>
  <si>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</si>
  <si>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</si>
  <si>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</si>
  <si>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</si>
  <si>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</si>
  <si>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</si>
  <si>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</si>
  <si>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</si>
  <si>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</si>
  <si>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</si>
  <si>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</si>
  <si>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</si>
  <si>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</si>
  <si>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</si>
  <si>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</si>
  <si>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</si>
  <si>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</si>
  <si>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</si>
  <si>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</si>
  <si>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</si>
  <si>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</si>
  <si>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</si>
  <si>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</si>
  <si>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</si>
  <si>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</si>
  <si>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</si>
  <si>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</si>
  <si>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</si>
  <si>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</si>
  <si>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</si>
  <si>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</si>
  <si>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</si>
  <si>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</si>
  <si>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</si>
  <si>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</si>
  <si>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</si>
  <si>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</si>
  <si>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</si>
  <si>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</si>
  <si>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</si>
  <si>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</si>
  <si>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</si>
  <si>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</si>
  <si>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</si>
  <si>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</si>
  <si>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</si>
  <si>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</si>
  <si>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</si>
  <si>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</si>
  <si>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</si>
  <si>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</si>
  <si>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</si>
  <si>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</si>
  <si>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</si>
  <si>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</si>
  <si>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</si>
  <si>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</si>
  <si>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</si>
  <si>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</si>
  <si>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</si>
  <si>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</si>
  <si>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</si>
  <si>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</si>
  <si>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</si>
  <si>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</si>
  <si>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</si>
  <si>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</si>
  <si>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</si>
  <si>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</si>
  <si>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</si>
  <si>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</si>
  <si>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</si>
  <si>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</si>
  <si>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</si>
  <si>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</si>
  <si>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</si>
  <si>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</si>
  <si>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</si>
  <si>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</si>
  <si>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</si>
  <si>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</si>
  <si>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</si>
  <si>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</si>
  <si>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</si>
  <si>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</si>
  <si>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</si>
  <si>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</si>
  <si>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</si>
  <si>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</si>
  <si>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</si>
  <si>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</si>
  <si>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</si>
  <si>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</si>
  <si>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</si>
  <si>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</si>
  <si>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</si>
  <si>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</si>
  <si>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</si>
  <si>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</si>
  <si>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</si>
  <si>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</si>
  <si>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</si>
  <si>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</si>
  <si>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</si>
  <si>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</si>
  <si>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</si>
  <si>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</si>
  <si>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</si>
  <si>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</si>
  <si>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</si>
  <si>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</si>
  <si>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</si>
  <si>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</si>
  <si>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</si>
  <si>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</si>
  <si>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</si>
  <si>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</si>
  <si>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</si>
  <si>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</si>
  <si>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</si>
  <si>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</si>
  <si>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</si>
  <si>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</si>
  <si>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</si>
  <si>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</si>
  <si>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</si>
  <si>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</si>
  <si>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</si>
  <si>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</si>
  <si>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</si>
  <si>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</si>
  <si>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</si>
  <si>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</si>
  <si>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</si>
  <si>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</si>
  <si>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</si>
  <si>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</si>
  <si>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</si>
  <si>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</si>
  <si>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</si>
  <si>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</si>
  <si>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</si>
  <si>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</si>
  <si>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</si>
  <si>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</si>
  <si>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</si>
  <si>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</si>
  <si>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</si>
  <si>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</si>
  <si>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</si>
  <si>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</si>
  <si>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</si>
  <si>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</si>
  <si>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</si>
  <si>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</si>
  <si>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</si>
  <si>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</si>
  <si>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</si>
  <si>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</si>
  <si>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</si>
  <si>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</si>
  <si>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</si>
  <si>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</si>
  <si>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</si>
  <si>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</si>
  <si>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</si>
  <si>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</si>
  <si>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</si>
  <si>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</si>
  <si>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</si>
  <si>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</si>
  <si>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</si>
  <si>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</si>
  <si>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</si>
  <si>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</si>
  <si>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</si>
  <si>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</si>
  <si>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</si>
  <si>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</si>
  <si>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</si>
  <si>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</si>
  <si>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</si>
  <si>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</si>
  <si>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</si>
  <si>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</si>
  <si>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</si>
  <si>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</si>
  <si>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</si>
  <si>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</si>
  <si>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</si>
  <si>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</si>
  <si>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</si>
  <si>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</si>
  <si>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</si>
  <si>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</si>
  <si>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</si>
  <si>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</si>
  <si>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</si>
  <si>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</si>
  <si>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</si>
  <si>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</si>
  <si>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</si>
  <si>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</si>
  <si>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</si>
  <si>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</si>
  <si>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</si>
  <si>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</si>
  <si>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</si>
  <si>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</si>
  <si>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</si>
  <si>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</si>
  <si>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</si>
  <si>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</si>
  <si>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</si>
  <si>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</si>
  <si>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</si>
  <si>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MECA Electronics, Inc</t>
  </si>
  <si>
    <t>Design, manufacture, and sale of RF/Microwave equipment and components.</t>
  </si>
  <si>
    <t>66 Ford Road - Suite 101-Denville NJ 07834</t>
  </si>
  <si>
    <t>Nicholas Dzwonczyk</t>
  </si>
  <si>
    <t>ndzwonczyk@e-meca.com</t>
  </si>
  <si>
    <t>973 625-0661</t>
  </si>
  <si>
    <t>N. Dzwonczyk</t>
  </si>
  <si>
    <t xml:space="preserve">Manger of Quality Systems and Engineering </t>
  </si>
  <si>
    <t>MECA Electronics is not a manufacturer of any metals.  We purchase componenets that contain these metals and respond based on CMRT reports we received from our suppliers.</t>
  </si>
  <si>
    <t/>
  </si>
  <si>
    <t>Our supplier purchases from, MetalorTechnologies which declares that they do business with very limited industrial mines situated in CAHRA's. All Metalor customers operating in these areas are part of internationallisted companies with a very strong commitment to compliance.  All those companies meet all requirements of Metalor due diligence and compliance process in line with LBMA, RJC and OECD guidelines.  Metalor business in CAHRA's does not -in any way- finance armed groups, forced labour and other human rights abuses, or support corruption and maoney laundering.</t>
  </si>
  <si>
    <t>100%</t>
  </si>
  <si>
    <t>Our suppliers are required to meet any Conflic Mineral compliance obligations. (Standard Terms and Conditions of Purchase)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</si>
</sst>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ndzwonczyk@e-mec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dzwonczyk@e-mec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7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3.75">
      <c r="A13" s="361"/>
      <c r="B13" s="275">
        <v>1</v>
      </c>
      <c r="C13" s="276" t="s">
        <v>1046</v>
      </c>
      <c r="D13" s="277" t="s">
        <v>836</v>
      </c>
      <c r="E13" s="278" t="s">
        <v>813</v>
      </c>
      <c r="F13" s="278"/>
      <c r="G13" s="24"/>
    </row>
    <row r="14" spans="1:7" ht="56.25">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50000000000001" customHeight="1">
      <c r="A28" s="361"/>
      <c r="B28" s="374"/>
      <c r="C28" s="368"/>
      <c r="D28" s="371"/>
      <c r="E28" s="359"/>
      <c r="F28" s="280" t="s">
        <v>56</v>
      </c>
      <c r="G28" s="24"/>
    </row>
    <row r="29" spans="1:7" ht="74.45" customHeight="1">
      <c r="A29" s="361"/>
      <c r="B29" s="374"/>
      <c r="C29" s="368"/>
      <c r="D29" s="371"/>
      <c r="E29" s="359"/>
      <c r="F29" s="280" t="s">
        <v>57</v>
      </c>
      <c r="G29" s="24"/>
    </row>
    <row r="30" spans="1:7" ht="62.4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45" customHeight="1">
      <c r="A33" s="361"/>
      <c r="B33" s="374"/>
      <c r="C33" s="368"/>
      <c r="D33" s="371"/>
      <c r="E33" s="359"/>
      <c r="F33" s="280" t="s">
        <v>61</v>
      </c>
      <c r="G33" s="24"/>
    </row>
    <row r="34" spans="1:7" ht="89.1" customHeight="1">
      <c r="A34" s="361"/>
      <c r="B34" s="374"/>
      <c r="C34" s="368"/>
      <c r="D34" s="371"/>
      <c r="E34" s="359"/>
      <c r="F34" s="280" t="s">
        <v>63</v>
      </c>
      <c r="G34" s="24"/>
    </row>
    <row r="35" spans="1:7" ht="29.1" customHeight="1">
      <c r="A35" s="361"/>
      <c r="B35" s="374"/>
      <c r="C35" s="368"/>
      <c r="D35" s="371"/>
      <c r="E35" s="359"/>
      <c r="F35" s="280" t="s">
        <v>64</v>
      </c>
      <c r="G35" s="24"/>
    </row>
    <row r="36" spans="1:7" ht="147">
      <c r="A36" s="361"/>
      <c r="B36" s="375"/>
      <c r="C36" s="369"/>
      <c r="D36" s="372"/>
      <c r="E36" s="360"/>
      <c r="F36" s="282" t="s">
        <v>65</v>
      </c>
      <c r="G36" s="24"/>
    </row>
    <row r="37" spans="1:7" ht="157.5">
      <c r="A37" s="361"/>
      <c r="B37" s="281">
        <v>3.01</v>
      </c>
      <c r="C37" s="283" t="s">
        <v>66</v>
      </c>
      <c r="D37" s="277" t="s">
        <v>2155</v>
      </c>
      <c r="E37" s="284" t="s">
        <v>1282</v>
      </c>
      <c r="F37" s="285" t="s">
        <v>1384</v>
      </c>
      <c r="G37" s="24"/>
    </row>
    <row r="38" spans="1:7" ht="146.25">
      <c r="A38" s="361"/>
      <c r="B38" s="281">
        <v>3.02</v>
      </c>
      <c r="C38" s="283" t="s">
        <v>1314</v>
      </c>
      <c r="D38" s="277" t="s">
        <v>2156</v>
      </c>
      <c r="E38" s="284" t="s">
        <v>1329</v>
      </c>
      <c r="F38" s="285" t="s">
        <v>1385</v>
      </c>
      <c r="G38" s="24"/>
    </row>
    <row r="39" spans="1:7" ht="112.5">
      <c r="A39" s="361"/>
      <c r="B39" s="286">
        <v>4</v>
      </c>
      <c r="C39" s="287" t="s">
        <v>1480</v>
      </c>
      <c r="D39" s="277" t="s">
        <v>2157</v>
      </c>
      <c r="E39" s="276" t="s">
        <v>2104</v>
      </c>
      <c r="F39" s="276" t="s">
        <v>1481</v>
      </c>
      <c r="G39" s="24"/>
    </row>
    <row r="40" spans="1:7" ht="67.5">
      <c r="A40" s="361"/>
      <c r="B40" s="281">
        <v>4.01</v>
      </c>
      <c r="C40" s="287" t="s">
        <v>1480</v>
      </c>
      <c r="D40" s="277" t="s">
        <v>2159</v>
      </c>
      <c r="E40" s="276" t="s">
        <v>2116</v>
      </c>
      <c r="F40" s="276" t="s">
        <v>2120</v>
      </c>
      <c r="G40" s="24"/>
    </row>
    <row r="41" spans="1:7" ht="67.5">
      <c r="A41" s="361"/>
      <c r="B41" s="281" t="s">
        <v>2146</v>
      </c>
      <c r="C41" s="287" t="s">
        <v>1480</v>
      </c>
      <c r="D41" s="277" t="s">
        <v>2158</v>
      </c>
      <c r="E41" s="276" t="s">
        <v>2149</v>
      </c>
      <c r="F41" s="276" t="s">
        <v>2147</v>
      </c>
      <c r="G41" s="24"/>
    </row>
    <row r="42" spans="1:7" ht="67.5">
      <c r="A42" s="361"/>
      <c r="B42" s="281" t="s">
        <v>2173</v>
      </c>
      <c r="C42" s="287" t="s">
        <v>1480</v>
      </c>
      <c r="D42" s="277" t="s">
        <v>2178</v>
      </c>
      <c r="E42" s="276" t="s">
        <v>2148</v>
      </c>
      <c r="F42" s="276" t="s">
        <v>2174</v>
      </c>
      <c r="G42" s="24"/>
    </row>
    <row r="43" spans="1:7" ht="191.25">
      <c r="A43" s="361"/>
      <c r="B43" s="288">
        <v>4.0999999999999996</v>
      </c>
      <c r="C43" s="287" t="s">
        <v>2177</v>
      </c>
      <c r="D43" s="289">
        <v>42867</v>
      </c>
      <c r="E43" s="290" t="s">
        <v>2180</v>
      </c>
      <c r="F43" s="276" t="s">
        <v>2179</v>
      </c>
      <c r="G43" s="24"/>
    </row>
    <row r="44" spans="1:7" ht="112.5">
      <c r="A44" s="361"/>
      <c r="B44" s="288">
        <v>4.2</v>
      </c>
      <c r="C44" s="287" t="s">
        <v>2177</v>
      </c>
      <c r="D44" s="289">
        <v>42704</v>
      </c>
      <c r="E44" s="290" t="s">
        <v>2369</v>
      </c>
      <c r="F44" s="276" t="s">
        <v>2344</v>
      </c>
      <c r="G44" s="24"/>
    </row>
    <row r="45" spans="1:7" ht="213.75">
      <c r="A45" s="361"/>
      <c r="B45" s="291">
        <v>5</v>
      </c>
      <c r="C45" s="287" t="s">
        <v>2177</v>
      </c>
      <c r="D45" s="289">
        <v>42867</v>
      </c>
      <c r="E45" s="290" t="s">
        <v>12256</v>
      </c>
      <c r="F45" s="276" t="s">
        <v>11978</v>
      </c>
      <c r="G45" s="24"/>
    </row>
    <row r="46" spans="1:7" ht="56.25">
      <c r="A46" s="361"/>
      <c r="B46" s="288">
        <v>5.01</v>
      </c>
      <c r="C46" s="287" t="s">
        <v>2177</v>
      </c>
      <c r="D46" s="289">
        <v>42907</v>
      </c>
      <c r="E46" s="290" t="s">
        <v>14886</v>
      </c>
      <c r="F46" s="276" t="s">
        <v>11978</v>
      </c>
      <c r="G46" s="24"/>
    </row>
    <row r="47" spans="1:7" ht="101.25">
      <c r="A47" s="361"/>
      <c r="B47" s="288">
        <v>5.0999999999999996</v>
      </c>
      <c r="C47" s="287" t="s">
        <v>2177</v>
      </c>
      <c r="D47" s="289">
        <v>43070</v>
      </c>
      <c r="E47" s="290" t="s">
        <v>12456</v>
      </c>
      <c r="F47" s="276" t="s">
        <v>12457</v>
      </c>
      <c r="G47" s="24"/>
    </row>
    <row r="48" spans="1:7" ht="90">
      <c r="A48" s="361"/>
      <c r="B48" s="288">
        <v>5.1100000000000003</v>
      </c>
      <c r="C48" s="287" t="s">
        <v>12684</v>
      </c>
      <c r="D48" s="289">
        <v>43217</v>
      </c>
      <c r="E48" s="290" t="s">
        <v>12786</v>
      </c>
      <c r="F48" s="276" t="s">
        <v>12711</v>
      </c>
      <c r="G48" s="24"/>
    </row>
    <row r="49" spans="1:7" ht="90">
      <c r="A49" s="361"/>
      <c r="B49" s="288">
        <v>5.12</v>
      </c>
      <c r="C49" s="287" t="s">
        <v>12684</v>
      </c>
      <c r="D49" s="289">
        <v>43581</v>
      </c>
      <c r="E49" s="290" t="s">
        <v>12786</v>
      </c>
      <c r="F49" s="276" t="s">
        <v>13315</v>
      </c>
      <c r="G49" s="24"/>
    </row>
    <row r="50" spans="1:7" ht="112.5">
      <c r="A50" s="361"/>
      <c r="B50" s="291">
        <v>6</v>
      </c>
      <c r="C50" s="287" t="s">
        <v>12684</v>
      </c>
      <c r="D50" s="289">
        <v>43964</v>
      </c>
      <c r="E50" s="290" t="s">
        <v>13527</v>
      </c>
      <c r="F50" s="276" t="s">
        <v>13318</v>
      </c>
      <c r="G50" s="24"/>
    </row>
    <row r="51" spans="1:7" ht="56.25">
      <c r="A51" s="361"/>
      <c r="B51" s="288">
        <v>6.01</v>
      </c>
      <c r="C51" s="287" t="s">
        <v>12684</v>
      </c>
      <c r="D51" s="289">
        <v>43970</v>
      </c>
      <c r="E51" s="290" t="s">
        <v>14887</v>
      </c>
      <c r="F51" s="290" t="s">
        <v>13318</v>
      </c>
      <c r="G51" s="24"/>
    </row>
    <row r="52" spans="1:7" ht="56.25">
      <c r="A52" s="361"/>
      <c r="B52" s="288">
        <v>6.1</v>
      </c>
      <c r="C52" s="287" t="s">
        <v>12684</v>
      </c>
      <c r="D52" s="289">
        <v>44314</v>
      </c>
      <c r="E52" s="290" t="s">
        <v>14880</v>
      </c>
      <c r="F52" s="290" t="s">
        <v>14487</v>
      </c>
      <c r="G52" s="24"/>
    </row>
    <row r="53" spans="1:7" ht="56.25">
      <c r="A53" s="361"/>
      <c r="B53" s="288">
        <v>6.2</v>
      </c>
      <c r="C53" s="287" t="s">
        <v>12684</v>
      </c>
      <c r="D53" s="289">
        <v>44678</v>
      </c>
      <c r="E53" s="290" t="s">
        <v>14880</v>
      </c>
      <c r="F53" s="290" t="s">
        <v>14879</v>
      </c>
      <c r="G53" s="24"/>
    </row>
    <row r="54" spans="1:7" ht="56.25">
      <c r="A54" s="361"/>
      <c r="B54" s="288">
        <v>6.21</v>
      </c>
      <c r="C54" s="287" t="s">
        <v>12684</v>
      </c>
      <c r="D54" s="289">
        <v>44687</v>
      </c>
      <c r="E54" s="290" t="s">
        <v>14888</v>
      </c>
      <c r="F54" s="290" t="s">
        <v>14879</v>
      </c>
      <c r="G54" s="24"/>
    </row>
    <row r="55" spans="1:7" ht="56.25">
      <c r="A55" s="361"/>
      <c r="B55" s="288">
        <v>6.22</v>
      </c>
      <c r="C55" s="287" t="s">
        <v>12684</v>
      </c>
      <c r="D55" s="292">
        <v>44692</v>
      </c>
      <c r="E55" s="290" t="s">
        <v>14887</v>
      </c>
      <c r="F55" s="290" t="s">
        <v>14879</v>
      </c>
      <c r="G55" s="24"/>
    </row>
    <row r="56" spans="1:7" ht="90">
      <c r="A56" s="361"/>
      <c r="B56" s="291">
        <v>6.3</v>
      </c>
      <c r="C56" s="287" t="s">
        <v>12684</v>
      </c>
      <c r="D56" s="292">
        <v>45051</v>
      </c>
      <c r="E56" s="290" t="s">
        <v>15144</v>
      </c>
      <c r="F56" s="290" t="s">
        <v>14925</v>
      </c>
      <c r="G56" s="24"/>
    </row>
    <row r="57" spans="1:7" ht="56.25">
      <c r="A57" s="361"/>
      <c r="B57" s="288">
        <v>6.31</v>
      </c>
      <c r="C57" s="287" t="s">
        <v>12684</v>
      </c>
      <c r="D57" s="292">
        <v>45072</v>
      </c>
      <c r="E57" s="290" t="s">
        <v>15146</v>
      </c>
      <c r="F57" s="290" t="s">
        <v>14925</v>
      </c>
      <c r="G57" s="24"/>
    </row>
    <row r="58" spans="1:7" ht="56.25">
      <c r="A58" s="361"/>
      <c r="B58" s="291">
        <v>6.4</v>
      </c>
      <c r="C58" s="287" t="s">
        <v>12684</v>
      </c>
      <c r="D58" s="292">
        <v>45408</v>
      </c>
      <c r="E58" s="290" t="s">
        <v>15148</v>
      </c>
      <c r="F58" s="290" t="s">
        <v>15147</v>
      </c>
      <c r="G58" s="24"/>
    </row>
    <row r="59" spans="1:7" ht="56.25">
      <c r="A59" s="361"/>
      <c r="B59" s="291">
        <v>6.5</v>
      </c>
      <c r="C59" s="287" t="s">
        <v>12684</v>
      </c>
      <c r="D59" s="292">
        <v>45772</v>
      </c>
      <c r="E59" s="290" t="s">
        <v>15217</v>
      </c>
      <c r="F59" s="290" t="s">
        <v>15259</v>
      </c>
      <c r="G59" s="24"/>
    </row>
    <row r="60" spans="1:7" ht="90">
      <c r="A60" s="361"/>
      <c r="B60" s="291">
        <v>6.6</v>
      </c>
      <c r="C60" s="287" t="s">
        <v>12684</v>
      </c>
      <c r="D60" s="292">
        <v>46129</v>
      </c>
      <c r="E60" s="290" t="s">
        <v>15870</v>
      </c>
      <c r="F60" s="293" t="s">
        <v>15352</v>
      </c>
      <c r="G60" s="24"/>
    </row>
    <row r="61" spans="1:7" ht="13.5" thickBot="1">
      <c r="A61" s="362"/>
      <c r="B61" s="363" t="str">
        <f ca="1">OFFSET(L!$C$1,MATCH("General"&amp;"Cpy",L!$A:$A,0)-1,SL,,)</f>
        <v>© 2026 Responsible Minerals Initiative. All rights reserved.</v>
      </c>
      <c r="C61" s="363"/>
      <c r="D61" s="363"/>
      <c r="E61" s="363"/>
      <c r="F61" s="363"/>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1F3096E-7879-4B6C-840D-9443126632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265E777-B0E1-433B-BAC8-E6B7AE2E4E1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G3" zoomScalePageLayoutView="70" workbookViewId="0">
      <selection activeCell="D87" sqref="D87:E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7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0" t="s">
        <v>481</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Description of Scope: (*)</v>
      </c>
      <c r="C10" s="119"/>
      <c r="D10" s="325" t="s">
        <v>15880</v>
      </c>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6" t="s">
        <v>15883</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15885</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36" t="s">
        <v>15883</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294" t="s">
        <v>15884</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299">
        <v>46148</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305"/>
      <c r="H26" s="306"/>
      <c r="I26" s="306"/>
      <c r="J26" s="30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297" t="s">
        <v>474</v>
      </c>
      <c r="E27" s="298"/>
      <c r="F27" s="11"/>
      <c r="G27" s="305"/>
      <c r="H27" s="306"/>
      <c r="I27" s="306"/>
      <c r="J27" s="30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305"/>
      <c r="H29" s="306"/>
      <c r="I29" s="306"/>
      <c r="J29" s="30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03"/>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297" t="s">
        <v>15888</v>
      </c>
      <c r="E33" s="298"/>
      <c r="F33" s="44"/>
      <c r="G33" s="305" t="s">
        <v>15887</v>
      </c>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305" t="s">
        <v>15887</v>
      </c>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305"/>
      <c r="H38" s="306"/>
      <c r="I38" s="306"/>
      <c r="J38" s="30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297" t="s">
        <v>15888</v>
      </c>
      <c r="E39" s="298"/>
      <c r="F39" s="44"/>
      <c r="G39" s="305"/>
      <c r="H39" s="306"/>
      <c r="I39" s="306"/>
      <c r="J39" s="30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305"/>
      <c r="H41" s="306"/>
      <c r="I41" s="306"/>
      <c r="J41" s="30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305"/>
      <c r="H44" s="306"/>
      <c r="I44" s="306"/>
      <c r="J44" s="30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297"/>
      <c r="E45" s="298"/>
      <c r="F45" s="44"/>
      <c r="G45" s="305"/>
      <c r="H45" s="306"/>
      <c r="I45" s="306"/>
      <c r="J45" s="30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305" t="s">
        <v>15889</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305"/>
      <c r="H47" s="306"/>
      <c r="I47" s="306"/>
      <c r="J47" s="30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297"/>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39"/>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39"/>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9" t="s">
        <v>15890</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39"/>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03"/>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297"/>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297"/>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09"/>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305" t="s">
        <v>15891</v>
      </c>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Yes</v>
      </c>
    </row>
    <row r="101" spans="2:7" ht="15.75" hidden="1">
      <c r="B101" s="219" t="s">
        <v>2371</v>
      </c>
      <c r="D101" s="264" t="str">
        <f>IF(AND(OR($D$27="Yes",$D$27=""),OR($D$33="Yes",$D$33="")),"Unknown","")</f>
        <v/>
      </c>
      <c r="E101" s="264" t="str">
        <f>IF(AND(OR($D$26="Yes",$D$26=""),OR($D$32="Yes",$D$32="")),"None","")</f>
        <v/>
      </c>
      <c r="G101" s="264" t="str">
        <f>IF(OR($D$28="Yes",$D$28=""),"No","")</f>
        <v>No</v>
      </c>
    </row>
    <row r="102" spans="2:7" ht="15.75" hidden="1">
      <c r="B102" s="219" t="s">
        <v>2372</v>
      </c>
      <c r="D102" s="264" t="str">
        <f>IF(AND(OR($D$28="Yes",$D$28=""),OR($D$34="Yes",$D$34="")),"Yes","")</f>
        <v>Yes</v>
      </c>
      <c r="E102" s="264" t="str">
        <f>IF(AND(OR($D$27="Yes",$D$27=""),OR($D$33="Yes",$D$33="")),"100%","")</f>
        <v/>
      </c>
      <c r="G102" s="264" t="str">
        <f>IF(OR($D$29="Yes",$D$29=""),"Yes","")</f>
        <v/>
      </c>
    </row>
    <row r="103" spans="2:7" ht="15.75" hidden="1">
      <c r="B103" s="219" t="s">
        <v>2373</v>
      </c>
      <c r="D103" s="264" t="str">
        <f>IF(AND(OR($D$28="Yes",$D$28=""),OR($D$34="Yes",$D$34="")),"No","")</f>
        <v>No</v>
      </c>
      <c r="E103" s="264" t="str">
        <f>IF(AND(OR($D$27="Yes",$D$27=""),OR($D$33="Yes",$D$33="")),"Greater than 90%","")</f>
        <v/>
      </c>
      <c r="G103" s="264" t="str">
        <f>IF(OR($D$29="Yes",$D$29=""),"No","")</f>
        <v/>
      </c>
    </row>
    <row r="104" spans="2:7" ht="15.75" hidden="1">
      <c r="B104" s="219" t="s">
        <v>476</v>
      </c>
      <c r="D104" s="264" t="str">
        <f>IF(AND(OR($D$28="Yes",$D$28=""),OR($D$34="Yes",$D$34="")),"Unknown","")</f>
        <v>Unknown</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2DF7F9E-3909-47BD-A4D6-E6B4D55D3509}"/>
    <hyperlink ref="D20" r:id="rId4" xr:uid="{CCA86AD1-787A-4E95-812A-84B0E08FCCC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B23" sqref="B23"/>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1087</v>
      </c>
      <c r="C5" s="170" t="s">
        <v>1337</v>
      </c>
      <c r="D5" s="213"/>
      <c r="E5" s="166" t="str">
        <f ca="1">IF(ISERROR($V5),"",OFFSET('Smelter Look-up'!$D$4,$V5-4,0)&amp;"")</f>
        <v>UNITED STATES OF AMERICA</v>
      </c>
      <c r="F5" s="166" t="str">
        <f ca="1">IF(ISERROR($V5),"",OFFSET('Smelter Look-up'!$E$4,$V5-4,0))</f>
        <v>CID000015</v>
      </c>
      <c r="G5" s="166" t="str">
        <f ca="1">IF(C5=$X$4,IF(ISERROR($V5),"Enter smelter details","RMI"),IF(ISERROR($V5),"",OFFSET('Smelter Look-up'!$F$4,$V5-4,0)))</f>
        <v>RMI</v>
      </c>
      <c r="H5" s="167">
        <f ca="1">IF(ISERROR($V5),"",OFFSET('Smelter Look-up'!$G$4,$V5-4,0))</f>
        <v>0</v>
      </c>
      <c r="I5" s="168" t="str">
        <f ca="1">IF(ISERROR($V5),"",OFFSET('Smelter Look-up'!$H$4,$V5-4,0))</f>
        <v>Warwick</v>
      </c>
      <c r="J5" s="168" t="str">
        <f ca="1">IF(ISERROR($V5),"",OFFSET('Smelter Look-up'!$I$4,$V5-4,0))</f>
        <v>Rhode Island</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ca="1" si="0">IF(AND(C5="Smelter not listed",OR(LEN(D5)=0,LEN(E5)=0)),1,0)</f>
        <v>0</v>
      </c>
      <c r="AB5" s="211" t="str">
        <f t="shared" ref="AB5" si="1">B5&amp;C5</f>
        <v>GoldAdvanced Chemical Company</v>
      </c>
    </row>
    <row r="6" spans="1:34" s="210" customFormat="1" ht="20.100000000000001" customHeight="1">
      <c r="A6" s="245"/>
      <c r="B6" s="166" t="s">
        <v>1087</v>
      </c>
      <c r="C6" s="170" t="s">
        <v>1123</v>
      </c>
      <c r="D6" s="213"/>
      <c r="E6" s="166" t="str">
        <f ca="1">IF(ISERROR($V6),"",OFFSET('Smelter Look-up'!$D$4,$V6-4,0)&amp;"")</f>
        <v>SWITZERLAND</v>
      </c>
      <c r="F6" s="166" t="str">
        <f ca="1">IF(ISERROR($V6),"",OFFSET('Smelter Look-up'!$E$4,$V6-4,0))</f>
        <v>CID001153</v>
      </c>
      <c r="G6" s="166" t="str">
        <f ca="1">IF(C6=$X$4,IF(ISERROR($V6),"Enter smelter details","RMI"),IF(ISERROR($V6),"",OFFSET('Smelter Look-up'!$F$4,$V6-4,0)))</f>
        <v>RMI</v>
      </c>
      <c r="H6" s="167">
        <f ca="1">IF(ISERROR($V6),"",OFFSET('Smelter Look-up'!$G$4,$V6-4,0))</f>
        <v>0</v>
      </c>
      <c r="I6" s="168" t="str">
        <f ca="1">IF(ISERROR($V6),"",OFFSET('Smelter Look-up'!$H$4,$V6-4,0))</f>
        <v>Marin</v>
      </c>
      <c r="J6" s="168" t="str">
        <f ca="1">IF(ISERROR($V6),"",OFFSET('Smelter Look-up'!$I$4,$V6-4,0))</f>
        <v>Neuchâtel</v>
      </c>
      <c r="K6" s="207"/>
      <c r="L6" s="207"/>
      <c r="M6" s="207"/>
      <c r="N6" s="207"/>
      <c r="O6" s="207"/>
      <c r="P6" s="169"/>
      <c r="Q6" s="208"/>
      <c r="R6" s="166" t="str">
        <f ca="1">IF(ISERROR($V6),"",OFFSET('Smelter Look-up'!$C$4,$V6-4,0)&amp;"")</f>
        <v>Metalor Technologies S.A.</v>
      </c>
      <c r="S6" s="165" t="str">
        <f t="shared" ref="S6:S37" ca="1" si="2">IF(B6="","",IF(ISERROR(MATCH($E6,CL,0)),"Unknown",INDIRECT("'C'!$A$"&amp;MATCH($E6,CL,0)+1)))</f>
        <v>CH</v>
      </c>
      <c r="T6" s="165" t="str">
        <f ca="1">IF(B6="","",IF(ISERROR(MATCH($J6,SorP!$B$1:$B$6261,0)),"",INDIRECT("'SorP'!$A$"&amp;MATCH($S6&amp;$J6,SorP!C:C,0))))</f>
        <v>CH-NE</v>
      </c>
      <c r="U6" s="185"/>
      <c r="V6" s="209">
        <f>IF(C6="",NA(),IF(OR(C6="Smelter not listed",C6="Smelter not yet identified"),MATCH($B6&amp;$D6,'Smelter Look-up'!$J:$J,0),MATCH($B6&amp;$C6,'Smelter Look-up'!$J:$J,0)))</f>
        <v>192</v>
      </c>
      <c r="X6" s="210">
        <f t="shared" ref="X6:X37" ca="1" si="3">IF(AND(C6="Smelter not listed",OR(LEN(D6)=0,LEN(E6)=0)),1,0)</f>
        <v>0</v>
      </c>
      <c r="AB6" s="211" t="str">
        <f t="shared" ref="AB6:AB37" si="4">B6&amp;C6</f>
        <v>GoldMetalor Switzerland</v>
      </c>
    </row>
    <row r="7" spans="1:34" s="210" customFormat="1" ht="20.100000000000001" customHeight="1">
      <c r="A7" s="245"/>
      <c r="B7" s="166" t="s">
        <v>1087</v>
      </c>
      <c r="C7" s="170" t="s">
        <v>2058</v>
      </c>
      <c r="D7" s="213"/>
      <c r="E7" s="166" t="str">
        <f ca="1">IF(ISERROR($V7),"",OFFSET('Smelter Look-up'!$D$4,$V7-4,0)&amp;"")</f>
        <v>CHINA</v>
      </c>
      <c r="F7" s="166" t="str">
        <f ca="1">IF(ISERROR($V7),"",OFFSET('Smelter Look-up'!$E$4,$V7-4,0))</f>
        <v>CID001149</v>
      </c>
      <c r="G7" s="166" t="str">
        <f ca="1">IF(C7=$X$4,IF(ISERROR($V7),"Enter smelter details","RMI"),IF(ISERROR($V7),"",OFFSET('Smelter Look-up'!$F$4,$V7-4,0)))</f>
        <v>RMI</v>
      </c>
      <c r="H7" s="167">
        <f ca="1">IF(ISERROR($V7),"",OFFSET('Smelter Look-up'!$G$4,$V7-4,0))</f>
        <v>0</v>
      </c>
      <c r="I7" s="168" t="str">
        <f ca="1">IF(ISERROR($V7),"",OFFSET('Smelter Look-up'!$H$4,$V7-4,0))</f>
        <v>Yuen Long</v>
      </c>
      <c r="J7" s="168" t="str">
        <f ca="1">IF(ISERROR($V7),"",OFFSET('Smelter Look-up'!$I$4,$V7-4,0))</f>
        <v>Hong Kong SAR</v>
      </c>
      <c r="K7" s="207"/>
      <c r="L7" s="207"/>
      <c r="M7" s="207"/>
      <c r="N7" s="207"/>
      <c r="O7" s="207"/>
      <c r="P7" s="169"/>
      <c r="Q7" s="208"/>
      <c r="R7" s="166" t="str">
        <f ca="1">IF(ISERROR($V7),"",OFFSET('Smelter Look-up'!$C$4,$V7-4,0)&amp;"")</f>
        <v>Metalor Technologies (Hong Kong) Ltd.</v>
      </c>
      <c r="S7" s="165" t="str">
        <f t="shared" ca="1" si="2"/>
        <v>CN</v>
      </c>
      <c r="T7" s="165" t="str">
        <f ca="1">IF(B7="","",IF(ISERROR(MATCH($J7,SorP!$B$1:$B$6261,0)),"",INDIRECT("'SorP'!$A$"&amp;MATCH($S7&amp;$J7,SorP!C:C,0))))</f>
        <v/>
      </c>
      <c r="U7" s="185"/>
      <c r="V7" s="209">
        <f>IF(C7="",NA(),IF(OR(C7="Smelter not listed",C7="Smelter not yet identified"),MATCH($B7&amp;$D7,'Smelter Look-up'!$J:$J,0),MATCH($B7&amp;$C7,'Smelter Look-up'!$J:$J,0)))</f>
        <v>193</v>
      </c>
      <c r="X7" s="210">
        <f t="shared" ca="1" si="3"/>
        <v>0</v>
      </c>
      <c r="AB7" s="211" t="str">
        <f t="shared" si="4"/>
        <v>GoldMetalor Technologies (Hong Kong) Ltd.</v>
      </c>
    </row>
    <row r="8" spans="1:34" s="210" customFormat="1" ht="20.100000000000001" customHeight="1">
      <c r="A8" s="245"/>
      <c r="B8" s="166" t="s">
        <v>1087</v>
      </c>
      <c r="C8" s="170" t="s">
        <v>2059</v>
      </c>
      <c r="D8" s="213"/>
      <c r="E8" s="166" t="str">
        <f ca="1">IF(ISERROR($V8),"",OFFSET('Smelter Look-up'!$D$4,$V8-4,0)&amp;"")</f>
        <v>SINGAPORE</v>
      </c>
      <c r="F8" s="166" t="str">
        <f ca="1">IF(ISERROR($V8),"",OFFSET('Smelter Look-up'!$E$4,$V8-4,0))</f>
        <v>CID001152</v>
      </c>
      <c r="G8" s="166" t="str">
        <f ca="1">IF(C8=$X$4,IF(ISERROR($V8),"Enter smelter details","RMI"),IF(ISERROR($V8),"",OFFSET('Smelter Look-up'!$F$4,$V8-4,0)))</f>
        <v>RMI</v>
      </c>
      <c r="H8" s="167">
        <f ca="1">IF(ISERROR($V8),"",OFFSET('Smelter Look-up'!$G$4,$V8-4,0))</f>
        <v>0</v>
      </c>
      <c r="I8" s="168" t="str">
        <f ca="1">IF(ISERROR($V8),"",OFFSET('Smelter Look-up'!$H$4,$V8-4,0))</f>
        <v>Singapore</v>
      </c>
      <c r="J8" s="168" t="str">
        <f ca="1">IF(ISERROR($V8),"",OFFSET('Smelter Look-up'!$I$4,$V8-4,0))</f>
        <v>South West</v>
      </c>
      <c r="K8" s="207"/>
      <c r="L8" s="207"/>
      <c r="M8" s="207"/>
      <c r="N8" s="207"/>
      <c r="O8" s="207"/>
      <c r="P8" s="169"/>
      <c r="Q8" s="208"/>
      <c r="R8" s="166" t="str">
        <f ca="1">IF(ISERROR($V8),"",OFFSET('Smelter Look-up'!$C$4,$V8-4,0)&amp;"")</f>
        <v>Metalor Technologies (Singapore) Pte., Ltd.</v>
      </c>
      <c r="S8" s="165" t="str">
        <f t="shared" ca="1" si="2"/>
        <v>SG</v>
      </c>
      <c r="T8" s="165" t="str">
        <f ca="1">IF(B8="","",IF(ISERROR(MATCH($J8,SorP!$B$1:$B$6261,0)),"",INDIRECT("'SorP'!$A$"&amp;MATCH($S8&amp;$J8,SorP!C:C,0))))</f>
        <v>SG-05</v>
      </c>
      <c r="U8" s="185"/>
      <c r="V8" s="209">
        <f>IF(C8="",NA(),IF(OR(C8="Smelter not listed",C8="Smelter not yet identified"),MATCH($B8&amp;$D8,'Smelter Look-up'!$J:$J,0),MATCH($B8&amp;$C8,'Smelter Look-up'!$J:$J,0)))</f>
        <v>194</v>
      </c>
      <c r="X8" s="210">
        <f t="shared" ca="1" si="3"/>
        <v>0</v>
      </c>
      <c r="AB8" s="211" t="str">
        <f t="shared" si="4"/>
        <v>GoldMetalor Technologies (Singapore) Pte., Ltd.</v>
      </c>
    </row>
    <row r="9" spans="1:34" s="210" customFormat="1" ht="20.100000000000001" customHeight="1">
      <c r="A9" s="245"/>
      <c r="B9" s="166" t="s">
        <v>1087</v>
      </c>
      <c r="C9" s="170" t="s">
        <v>1561</v>
      </c>
      <c r="D9" s="213"/>
      <c r="E9" s="166" t="str">
        <f ca="1">IF(ISERROR($V9),"",OFFSET('Smelter Look-up'!$D$4,$V9-4,0)&amp;"")</f>
        <v>CHINA</v>
      </c>
      <c r="F9" s="166" t="str">
        <f ca="1">IF(ISERROR($V9),"",OFFSET('Smelter Look-up'!$E$4,$V9-4,0))</f>
        <v>CID001147</v>
      </c>
      <c r="G9" s="166" t="str">
        <f ca="1">IF(C9=$X$4,IF(ISERROR($V9),"Enter smelter details","RMI"),IF(ISERROR($V9),"",OFFSET('Smelter Look-up'!$F$4,$V9-4,0)))</f>
        <v>RMI</v>
      </c>
      <c r="H9" s="167">
        <f ca="1">IF(ISERROR($V9),"",OFFSET('Smelter Look-up'!$G$4,$V9-4,0))</f>
        <v>0</v>
      </c>
      <c r="I9" s="168" t="str">
        <f ca="1">IF(ISERROR($V9),"",OFFSET('Smelter Look-up'!$H$4,$V9-4,0))</f>
        <v>Suzhou</v>
      </c>
      <c r="J9" s="168" t="str">
        <f ca="1">IF(ISERROR($V9),"",OFFSET('Smelter Look-up'!$I$4,$V9-4,0))</f>
        <v>Jiangsu Sheng</v>
      </c>
      <c r="K9" s="207"/>
      <c r="L9" s="207"/>
      <c r="M9" s="207"/>
      <c r="N9" s="207"/>
      <c r="O9" s="207"/>
      <c r="P9" s="169"/>
      <c r="Q9" s="208"/>
      <c r="R9" s="166" t="str">
        <f ca="1">IF(ISERROR($V9),"",OFFSET('Smelter Look-up'!$C$4,$V9-4,0)&amp;"")</f>
        <v>Metalor Technologies (Suzhou) Ltd.</v>
      </c>
      <c r="S9" s="165" t="str">
        <f t="shared" ca="1" si="2"/>
        <v>CN</v>
      </c>
      <c r="T9" s="165" t="str">
        <f ca="1">IF(B9="","",IF(ISERROR(MATCH($J9,SorP!$B$1:$B$6261,0)),"",INDIRECT("'SorP'!$A$"&amp;MATCH($S9&amp;$J9,SorP!C:C,0))))</f>
        <v>CN-JS</v>
      </c>
      <c r="U9" s="185"/>
      <c r="V9" s="209">
        <f>IF(C9="",NA(),IF(OR(C9="Smelter not listed",C9="Smelter not yet identified"),MATCH($B9&amp;$D9,'Smelter Look-up'!$J:$J,0),MATCH($B9&amp;$C9,'Smelter Look-up'!$J:$J,0)))</f>
        <v>195</v>
      </c>
      <c r="X9" s="210">
        <f t="shared" ca="1" si="3"/>
        <v>0</v>
      </c>
      <c r="AB9" s="211" t="str">
        <f t="shared" si="4"/>
        <v>GoldMetalor Technologies (Suzhou) Ltd.</v>
      </c>
    </row>
    <row r="10" spans="1:34" s="210" customFormat="1" ht="20.100000000000001" customHeight="1">
      <c r="A10" s="245"/>
      <c r="B10" s="166" t="s">
        <v>1087</v>
      </c>
      <c r="C10" s="170" t="s">
        <v>2201</v>
      </c>
      <c r="D10" s="213"/>
      <c r="E10" s="166" t="str">
        <f ca="1">IF(ISERROR($V10),"",OFFSET('Smelter Look-up'!$D$4,$V10-4,0)&amp;"")</f>
        <v>SWITZERLAND</v>
      </c>
      <c r="F10" s="166" t="str">
        <f ca="1">IF(ISERROR($V10),"",OFFSET('Smelter Look-up'!$E$4,$V10-4,0))</f>
        <v>CID001153</v>
      </c>
      <c r="G10" s="166" t="str">
        <f ca="1">IF(C10=$X$4,IF(ISERROR($V10),"Enter smelter details","RMI"),IF(ISERROR($V10),"",OFFSET('Smelter Look-up'!$F$4,$V10-4,0)))</f>
        <v>RMI</v>
      </c>
      <c r="H10" s="167">
        <f ca="1">IF(ISERROR($V10),"",OFFSET('Smelter Look-up'!$G$4,$V10-4,0))</f>
        <v>0</v>
      </c>
      <c r="I10" s="168" t="str">
        <f ca="1">IF(ISERROR($V10),"",OFFSET('Smelter Look-up'!$H$4,$V10-4,0))</f>
        <v>Marin</v>
      </c>
      <c r="J10" s="168" t="str">
        <f ca="1">IF(ISERROR($V10),"",OFFSET('Smelter Look-up'!$I$4,$V10-4,0))</f>
        <v>Neuchâtel</v>
      </c>
      <c r="K10" s="207"/>
      <c r="L10" s="207"/>
      <c r="M10" s="207"/>
      <c r="N10" s="207"/>
      <c r="O10" s="207"/>
      <c r="P10" s="169"/>
      <c r="Q10" s="208"/>
      <c r="R10" s="166" t="str">
        <f ca="1">IF(ISERROR($V10),"",OFFSET('Smelter Look-up'!$C$4,$V10-4,0)&amp;"")</f>
        <v>Metalor Technologies S.A.</v>
      </c>
      <c r="S10" s="165" t="str">
        <f t="shared" ca="1" si="2"/>
        <v>CH</v>
      </c>
      <c r="T10" s="165" t="str">
        <f ca="1">IF(B10="","",IF(ISERROR(MATCH($J10,SorP!$B$1:$B$6261,0)),"",INDIRECT("'SorP'!$A$"&amp;MATCH($S10&amp;$J10,SorP!C:C,0))))</f>
        <v>CH-NE</v>
      </c>
      <c r="U10" s="185"/>
      <c r="V10" s="209">
        <f>IF(C10="",NA(),IF(OR(C10="Smelter not listed",C10="Smelter not yet identified"),MATCH($B10&amp;$D10,'Smelter Look-up'!$J:$J,0),MATCH($B10&amp;$C10,'Smelter Look-up'!$J:$J,0)))</f>
        <v>196</v>
      </c>
      <c r="X10" s="210">
        <f t="shared" ca="1" si="3"/>
        <v>0</v>
      </c>
      <c r="AB10" s="211" t="str">
        <f t="shared" si="4"/>
        <v>GoldMetalor Technologies S.A.</v>
      </c>
    </row>
    <row r="11" spans="1:34" s="210" customFormat="1" ht="20.100000000000001" customHeight="1">
      <c r="A11" s="245"/>
      <c r="B11" s="166" t="s">
        <v>1087</v>
      </c>
      <c r="C11" s="170" t="s">
        <v>1183</v>
      </c>
      <c r="D11" s="213"/>
      <c r="E11" s="166" t="str">
        <f ca="1">IF(ISERROR($V11),"",OFFSET('Smelter Look-up'!$D$4,$V11-4,0)&amp;"")</f>
        <v>UNITED STATES OF AMERICA</v>
      </c>
      <c r="F11" s="166" t="str">
        <f ca="1">IF(ISERROR($V11),"",OFFSET('Smelter Look-up'!$E$4,$V11-4,0))</f>
        <v>CID001157</v>
      </c>
      <c r="G11" s="166" t="str">
        <f ca="1">IF(C11=$X$4,IF(ISERROR($V11),"Enter smelter details","RMI"),IF(ISERROR($V11),"",OFFSET('Smelter Look-up'!$F$4,$V11-4,0)))</f>
        <v>RMI</v>
      </c>
      <c r="H11" s="167">
        <f ca="1">IF(ISERROR($V11),"",OFFSET('Smelter Look-up'!$G$4,$V11-4,0))</f>
        <v>0</v>
      </c>
      <c r="I11" s="168" t="str">
        <f ca="1">IF(ISERROR($V11),"",OFFSET('Smelter Look-up'!$H$4,$V11-4,0))</f>
        <v>North Attleboro</v>
      </c>
      <c r="J11" s="168" t="str">
        <f ca="1">IF(ISERROR($V11),"",OFFSET('Smelter Look-up'!$I$4,$V11-4,0))</f>
        <v>Massachusetts</v>
      </c>
      <c r="K11" s="207"/>
      <c r="L11" s="207"/>
      <c r="M11" s="207"/>
      <c r="N11" s="207"/>
      <c r="O11" s="207"/>
      <c r="P11" s="169"/>
      <c r="Q11" s="208"/>
      <c r="R11" s="166" t="str">
        <f ca="1">IF(ISERROR($V11),"",OFFSET('Smelter Look-up'!$C$4,$V11-4,0)&amp;"")</f>
        <v>Metalor USA Refining Corporation</v>
      </c>
      <c r="S11" s="165" t="str">
        <f t="shared" ca="1" si="2"/>
        <v>US</v>
      </c>
      <c r="T11" s="165" t="str">
        <f ca="1">IF(B11="","",IF(ISERROR(MATCH($J11,SorP!$B$1:$B$6261,0)),"",INDIRECT("'SorP'!$A$"&amp;MATCH($S11&amp;$J11,SorP!C:C,0))))</f>
        <v>US-MA</v>
      </c>
      <c r="U11" s="185"/>
      <c r="V11" s="209">
        <f>IF(C11="",NA(),IF(OR(C11="Smelter not listed",C11="Smelter not yet identified"),MATCH($B11&amp;$D11,'Smelter Look-up'!$J:$J,0),MATCH($B11&amp;$C11,'Smelter Look-up'!$J:$J,0)))</f>
        <v>197</v>
      </c>
      <c r="X11" s="210">
        <f t="shared" ca="1" si="3"/>
        <v>0</v>
      </c>
      <c r="AB11" s="211" t="str">
        <f t="shared" si="4"/>
        <v>GoldMetalor USA Refining Corporation</v>
      </c>
    </row>
    <row r="12" spans="1:34" s="210" customFormat="1" ht="20.100000000000001" customHeight="1">
      <c r="A12" s="245"/>
      <c r="B12" s="166" t="s">
        <v>1087</v>
      </c>
      <c r="C12" s="170" t="s">
        <v>1337</v>
      </c>
      <c r="D12" s="213"/>
      <c r="E12" s="166" t="str">
        <f ca="1">IF(ISERROR($V12),"",OFFSET('Smelter Look-up'!$D$4,$V12-4,0)&amp;"")</f>
        <v>UNITED STATES OF AMERICA</v>
      </c>
      <c r="F12" s="166" t="str">
        <f ca="1">IF(ISERROR($V12),"",OFFSET('Smelter Look-up'!$E$4,$V12-4,0))</f>
        <v>CID000015</v>
      </c>
      <c r="G12" s="166" t="str">
        <f ca="1">IF(C12=$X$4,IF(ISERROR($V12),"Enter smelter details","RMI"),IF(ISERROR($V12),"",OFFSET('Smelter Look-up'!$F$4,$V12-4,0)))</f>
        <v>RMI</v>
      </c>
      <c r="H12" s="167">
        <f ca="1">IF(ISERROR($V12),"",OFFSET('Smelter Look-up'!$G$4,$V12-4,0))</f>
        <v>0</v>
      </c>
      <c r="I12" s="168" t="str">
        <f ca="1">IF(ISERROR($V12),"",OFFSET('Smelter Look-up'!$H$4,$V12-4,0))</f>
        <v>Warwick</v>
      </c>
      <c r="J12" s="168" t="str">
        <f ca="1">IF(ISERROR($V12),"",OFFSET('Smelter Look-up'!$I$4,$V12-4,0))</f>
        <v>Rhode Island</v>
      </c>
      <c r="K12" s="207"/>
      <c r="L12" s="207"/>
      <c r="M12" s="207"/>
      <c r="N12" s="207"/>
      <c r="O12" s="207"/>
      <c r="P12" s="169"/>
      <c r="Q12" s="208"/>
      <c r="R12" s="166" t="str">
        <f ca="1">IF(ISERROR($V12),"",OFFSET('Smelter Look-up'!$C$4,$V12-4,0)&amp;"")</f>
        <v>Advanced Chemical Company</v>
      </c>
      <c r="S12" s="165" t="str">
        <f t="shared" ca="1" si="2"/>
        <v>US</v>
      </c>
      <c r="T12" s="165" t="str">
        <f ca="1">IF(B12="","",IF(ISERROR(MATCH($J12,SorP!$B$1:$B$6261,0)),"",INDIRECT("'SorP'!$A$"&amp;MATCH($S12&amp;$J12,SorP!C:C,0))))</f>
        <v>US-RI</v>
      </c>
      <c r="U12" s="185"/>
      <c r="V12" s="209">
        <f>IF(C12="",NA(),IF(OR(C12="Smelter not listed",C12="Smelter not yet identified"),MATCH($B12&amp;$D12,'Smelter Look-up'!$J:$J,0),MATCH($B12&amp;$C12,'Smelter Look-up'!$J:$J,0)))</f>
        <v>8</v>
      </c>
      <c r="X12" s="210">
        <f t="shared" ca="1" si="3"/>
        <v>0</v>
      </c>
      <c r="AB12" s="211" t="str">
        <f t="shared" si="4"/>
        <v>GoldAdvanced Chemical Company</v>
      </c>
    </row>
    <row r="13" spans="1:34" s="210" customFormat="1" ht="20.100000000000001" customHeight="1">
      <c r="A13" s="245"/>
      <c r="B13" s="166" t="s">
        <v>1087</v>
      </c>
      <c r="C13" s="170" t="s">
        <v>2224</v>
      </c>
      <c r="D13" s="213"/>
      <c r="E13" s="166" t="str">
        <f ca="1">IF(ISERROR($V13),"",OFFSET('Smelter Look-up'!$D$4,$V13-4,0)&amp;"")</f>
        <v>BELGIUM</v>
      </c>
      <c r="F13" s="166" t="str">
        <f ca="1">IF(ISERROR($V13),"",OFFSET('Smelter Look-up'!$E$4,$V13-4,0))</f>
        <v>CID001980</v>
      </c>
      <c r="G13" s="166" t="str">
        <f ca="1">IF(C13=$X$4,IF(ISERROR($V13),"Enter smelter details","RMI"),IF(ISERROR($V13),"",OFFSET('Smelter Look-up'!$F$4,$V13-4,0)))</f>
        <v>RMI</v>
      </c>
      <c r="H13" s="167">
        <f ca="1">IF(ISERROR($V13),"",OFFSET('Smelter Look-up'!$G$4,$V13-4,0))</f>
        <v>0</v>
      </c>
      <c r="I13" s="168" t="str">
        <f ca="1">IF(ISERROR($V13),"",OFFSET('Smelter Look-up'!$H$4,$V13-4,0))</f>
        <v>Hoboken</v>
      </c>
      <c r="J13" s="168" t="str">
        <f ca="1">IF(ISERROR($V13),"",OFFSET('Smelter Look-up'!$I$4,$V13-4,0))</f>
        <v>Antwerpen</v>
      </c>
      <c r="K13" s="207"/>
      <c r="L13" s="207"/>
      <c r="M13" s="207"/>
      <c r="N13" s="207"/>
      <c r="O13" s="207"/>
      <c r="P13" s="169"/>
      <c r="Q13" s="208"/>
      <c r="R13" s="166" t="str">
        <f ca="1">IF(ISERROR($V13),"",OFFSET('Smelter Look-up'!$C$4,$V13-4,0)&amp;"")</f>
        <v>Umicore S.A. Business Unit Precious Metals Refining</v>
      </c>
      <c r="S13" s="165" t="str">
        <f t="shared" ca="1" si="2"/>
        <v>BE</v>
      </c>
      <c r="T13" s="165" t="str">
        <f ca="1">IF(B13="","",IF(ISERROR(MATCH($J13,SorP!$B$1:$B$6261,0)),"",INDIRECT("'SorP'!$A$"&amp;MATCH($S13&amp;$J13,SorP!C:C,0))))</f>
        <v>BE-VAN</v>
      </c>
      <c r="U13" s="185"/>
      <c r="V13" s="209">
        <f>IF(C13="",NA(),IF(OR(C13="Smelter not listed",C13="Smelter not yet identified"),MATCH($B13&amp;$D13,'Smelter Look-up'!$J:$J,0),MATCH($B13&amp;$C13,'Smelter Look-up'!$J:$J,0)))</f>
        <v>319</v>
      </c>
      <c r="X13" s="210">
        <f t="shared" ca="1" si="3"/>
        <v>0</v>
      </c>
      <c r="AB13" s="211" t="str">
        <f t="shared" si="4"/>
        <v>GoldUmicore S.A. Business Unit Precious Metals Refining</v>
      </c>
    </row>
    <row r="14" spans="1:34" s="210" customFormat="1" ht="20.100000000000001" customHeight="1">
      <c r="A14" s="245"/>
      <c r="B14" s="166" t="s">
        <v>1087</v>
      </c>
      <c r="C14" s="170" t="s">
        <v>2144</v>
      </c>
      <c r="D14" s="213"/>
      <c r="E14" s="166" t="str">
        <f ca="1">IF(ISERROR($V14),"",OFFSET('Smelter Look-up'!$D$4,$V14-4,0)&amp;"")</f>
        <v>CANADA</v>
      </c>
      <c r="F14" s="166" t="str">
        <f ca="1">IF(ISERROR($V14),"",OFFSET('Smelter Look-up'!$E$4,$V14-4,0))</f>
        <v>CID000185</v>
      </c>
      <c r="G14" s="166" t="str">
        <f ca="1">IF(C14=$X$4,IF(ISERROR($V14),"Enter smelter details","RMI"),IF(ISERROR($V14),"",OFFSET('Smelter Look-up'!$F$4,$V14-4,0)))</f>
        <v>RMI</v>
      </c>
      <c r="H14" s="167">
        <f ca="1">IF(ISERROR($V14),"",OFFSET('Smelter Look-up'!$G$4,$V14-4,0))</f>
        <v>0</v>
      </c>
      <c r="I14" s="168" t="str">
        <f ca="1">IF(ISERROR($V14),"",OFFSET('Smelter Look-up'!$H$4,$V14-4,0))</f>
        <v>Montréal</v>
      </c>
      <c r="J14" s="168" t="str">
        <f ca="1">IF(ISERROR($V14),"",OFFSET('Smelter Look-up'!$I$4,$V14-4,0))</f>
        <v>Quebec</v>
      </c>
      <c r="K14" s="207"/>
      <c r="L14" s="207"/>
      <c r="M14" s="207"/>
      <c r="N14" s="207"/>
      <c r="O14" s="207"/>
      <c r="P14" s="169"/>
      <c r="Q14" s="208"/>
      <c r="R14" s="166" t="str">
        <f ca="1">IF(ISERROR($V14),"",OFFSET('Smelter Look-up'!$C$4,$V14-4,0)&amp;"")</f>
        <v>Glencore Canada Corporation - CCR Refinery</v>
      </c>
      <c r="S14" s="165" t="str">
        <f t="shared" ca="1" si="2"/>
        <v>CA</v>
      </c>
      <c r="T14" s="165" t="str">
        <f ca="1">IF(B14="","",IF(ISERROR(MATCH($J14,SorP!$B$1:$B$6261,0)),"",INDIRECT("'SorP'!$A$"&amp;MATCH($S14&amp;$J14,SorP!C:C,0))))</f>
        <v>CA-QC</v>
      </c>
      <c r="U14" s="185"/>
      <c r="V14" s="209">
        <f>IF(C14="",NA(),IF(OR(C14="Smelter not listed",C14="Smelter not yet identified"),MATCH($B14&amp;$D14,'Smelter Look-up'!$J:$J,0),MATCH($B14&amp;$C14,'Smelter Look-up'!$J:$J,0)))</f>
        <v>57</v>
      </c>
      <c r="X14" s="210">
        <f t="shared" ca="1" si="3"/>
        <v>0</v>
      </c>
      <c r="AB14" s="211" t="str">
        <f t="shared" si="4"/>
        <v>GoldCCR Refinery - Glencore Canada Corporation</v>
      </c>
    </row>
    <row r="15" spans="1:34" s="210" customFormat="1" ht="20.100000000000001" customHeight="1">
      <c r="A15" s="245"/>
      <c r="B15" s="166" t="s">
        <v>1087</v>
      </c>
      <c r="C15" s="170" t="s">
        <v>2183</v>
      </c>
      <c r="D15" s="213"/>
      <c r="E15" s="166" t="str">
        <f ca="1">IF(ISERROR($V15),"",OFFSET('Smelter Look-up'!$D$4,$V15-4,0)&amp;"")</f>
        <v>CANADA</v>
      </c>
      <c r="F15" s="166" t="str">
        <f ca="1">IF(ISERROR($V15),"",OFFSET('Smelter Look-up'!$E$4,$V15-4,0))</f>
        <v>CID000924</v>
      </c>
      <c r="G15" s="166" t="str">
        <f ca="1">IF(C15=$X$4,IF(ISERROR($V15),"Enter smelter details","RMI"),IF(ISERROR($V15),"",OFFSET('Smelter Look-up'!$F$4,$V15-4,0)))</f>
        <v>RMI</v>
      </c>
      <c r="H15" s="167">
        <f ca="1">IF(ISERROR($V15),"",OFFSET('Smelter Look-up'!$G$4,$V15-4,0))</f>
        <v>0</v>
      </c>
      <c r="I15" s="168" t="str">
        <f ca="1">IF(ISERROR($V15),"",OFFSET('Smelter Look-up'!$H$4,$V15-4,0))</f>
        <v>Brampton</v>
      </c>
      <c r="J15" s="168" t="str">
        <f ca="1">IF(ISERROR($V15),"",OFFSET('Smelter Look-up'!$I$4,$V15-4,0))</f>
        <v>Ontario</v>
      </c>
      <c r="K15" s="207"/>
      <c r="L15" s="207"/>
      <c r="M15" s="207"/>
      <c r="N15" s="207"/>
      <c r="O15" s="207"/>
      <c r="P15" s="169"/>
      <c r="Q15" s="208"/>
      <c r="R15" s="166" t="str">
        <f ca="1">IF(ISERROR($V15),"",OFFSET('Smelter Look-up'!$C$4,$V15-4,0)&amp;"")</f>
        <v>Asahi Refining Canada Ltd.</v>
      </c>
      <c r="S15" s="165" t="str">
        <f t="shared" ca="1" si="2"/>
        <v>CA</v>
      </c>
      <c r="T15" s="165" t="str">
        <f ca="1">IF(B15="","",IF(ISERROR(MATCH($J15,SorP!$B$1:$B$6261,0)),"",INDIRECT("'SorP'!$A$"&amp;MATCH($S15&amp;$J15,SorP!C:C,0))))</f>
        <v>CA-ON</v>
      </c>
      <c r="U15" s="185"/>
      <c r="V15" s="209">
        <f>IF(C15="",NA(),IF(OR(C15="Smelter not listed",C15="Smelter not yet identified"),MATCH($B15&amp;$D15,'Smelter Look-up'!$J:$J,0),MATCH($B15&amp;$C15,'Smelter Look-up'!$J:$J,0)))</f>
        <v>34</v>
      </c>
      <c r="X15" s="210">
        <f t="shared" ca="1" si="3"/>
        <v>0</v>
      </c>
      <c r="AB15" s="211" t="str">
        <f t="shared" si="4"/>
        <v>GoldAsahi Refining Canada Ltd.</v>
      </c>
    </row>
    <row r="16" spans="1:34" s="210" customFormat="1" ht="20.100000000000001" customHeight="1">
      <c r="A16" s="245"/>
      <c r="B16" s="166" t="s">
        <v>1087</v>
      </c>
      <c r="C16" s="170" t="s">
        <v>873</v>
      </c>
      <c r="D16" s="213"/>
      <c r="E16" s="166" t="str">
        <f ca="1">IF(ISERROR($V16),"",OFFSET('Smelter Look-up'!$D$4,$V16-4,0)&amp;"")</f>
        <v>CANADA</v>
      </c>
      <c r="F16" s="166" t="str">
        <f ca="1">IF(ISERROR($V16),"",OFFSET('Smelter Look-up'!$E$4,$V16-4,0))</f>
        <v>CID001534</v>
      </c>
      <c r="G16" s="166" t="str">
        <f ca="1">IF(C16=$X$4,IF(ISERROR($V16),"Enter smelter details","RMI"),IF(ISERROR($V16),"",OFFSET('Smelter Look-up'!$F$4,$V16-4,0)))</f>
        <v>RMI</v>
      </c>
      <c r="H16" s="167">
        <f ca="1">IF(ISERROR($V16),"",OFFSET('Smelter Look-up'!$G$4,$V16-4,0))</f>
        <v>0</v>
      </c>
      <c r="I16" s="168" t="str">
        <f ca="1">IF(ISERROR($V16),"",OFFSET('Smelter Look-up'!$H$4,$V16-4,0))</f>
        <v>Ottawa</v>
      </c>
      <c r="J16" s="168" t="str">
        <f ca="1">IF(ISERROR($V16),"",OFFSET('Smelter Look-up'!$I$4,$V16-4,0))</f>
        <v>Ontario</v>
      </c>
      <c r="K16" s="207"/>
      <c r="L16" s="207"/>
      <c r="M16" s="207"/>
      <c r="N16" s="207"/>
      <c r="O16" s="207"/>
      <c r="P16" s="169"/>
      <c r="Q16" s="208"/>
      <c r="R16" s="166" t="str">
        <f ca="1">IF(ISERROR($V16),"",OFFSET('Smelter Look-up'!$C$4,$V16-4,0)&amp;"")</f>
        <v>Royal Canadian Mint</v>
      </c>
      <c r="S16" s="165" t="str">
        <f t="shared" ca="1" si="2"/>
        <v>CA</v>
      </c>
      <c r="T16" s="165" t="str">
        <f ca="1">IF(B16="","",IF(ISERROR(MATCH($J16,SorP!$B$1:$B$6261,0)),"",INDIRECT("'SorP'!$A$"&amp;MATCH($S16&amp;$J16,SorP!C:C,0))))</f>
        <v>CA-ON</v>
      </c>
      <c r="U16" s="185"/>
      <c r="V16" s="209">
        <f>IF(C16="",NA(),IF(OR(C16="Smelter not listed",C16="Smelter not yet identified"),MATCH($B16&amp;$D16,'Smelter Look-up'!$J:$J,0),MATCH($B16&amp;$C16,'Smelter Look-up'!$J:$J,0)))</f>
        <v>245</v>
      </c>
      <c r="X16" s="210">
        <f t="shared" ca="1" si="3"/>
        <v>0</v>
      </c>
      <c r="AB16" s="211" t="str">
        <f t="shared" si="4"/>
        <v>GoldRoyal Canadian Mint</v>
      </c>
    </row>
    <row r="17" spans="1:28" s="210" customFormat="1" ht="20.100000000000001" customHeight="1">
      <c r="A17" s="245"/>
      <c r="B17" s="166" t="s">
        <v>1087</v>
      </c>
      <c r="C17" s="170" t="s">
        <v>2390</v>
      </c>
      <c r="D17" s="213"/>
      <c r="E17" s="166" t="str">
        <f ca="1">IF(ISERROR($V17),"",OFFSET('Smelter Look-up'!$D$4,$V17-4,0)&amp;"")</f>
        <v>CHINA</v>
      </c>
      <c r="F17" s="166" t="str">
        <f ca="1">IF(ISERROR($V17),"",OFFSET('Smelter Look-up'!$E$4,$V17-4,0))</f>
        <v>CID000707</v>
      </c>
      <c r="G17" s="166" t="str">
        <f ca="1">IF(C17=$X$4,IF(ISERROR($V17),"Enter smelter details","RMI"),IF(ISERROR($V17),"",OFFSET('Smelter Look-up'!$F$4,$V17-4,0)))</f>
        <v>RMI</v>
      </c>
      <c r="H17" s="167">
        <f ca="1">IF(ISERROR($V17),"",OFFSET('Smelter Look-up'!$G$4,$V17-4,0))</f>
        <v>0</v>
      </c>
      <c r="I17" s="168" t="str">
        <f ca="1">IF(ISERROR($V17),"",OFFSET('Smelter Look-up'!$H$4,$V17-4,0))</f>
        <v>Fanling</v>
      </c>
      <c r="J17" s="168" t="str">
        <f ca="1">IF(ISERROR($V17),"",OFFSET('Smelter Look-up'!$I$4,$V17-4,0))</f>
        <v>Hong Kong SAR</v>
      </c>
      <c r="K17" s="207"/>
      <c r="L17" s="207"/>
      <c r="M17" s="207"/>
      <c r="N17" s="207"/>
      <c r="O17" s="207"/>
      <c r="P17" s="169"/>
      <c r="Q17" s="208"/>
      <c r="R17" s="166" t="str">
        <f ca="1">IF(ISERROR($V17),"",OFFSET('Smelter Look-up'!$C$4,$V17-4,0)&amp;"")</f>
        <v>Heraeus Metals Hong Kong Ltd.</v>
      </c>
      <c r="S17" s="165" t="str">
        <f t="shared" ca="1" si="2"/>
        <v>CN</v>
      </c>
      <c r="T17" s="165" t="str">
        <f ca="1">IF(B17="","",IF(ISERROR(MATCH($J17,SorP!$B$1:$B$6261,0)),"",INDIRECT("'SorP'!$A$"&amp;MATCH($S17&amp;$J17,SorP!C:C,0))))</f>
        <v/>
      </c>
      <c r="U17" s="185"/>
      <c r="V17" s="209">
        <f>IF(C17="",NA(),IF(OR(C17="Smelter not listed",C17="Smelter not yet identified"),MATCH($B17&amp;$D17,'Smelter Look-up'!$J:$J,0),MATCH($B17&amp;$C17,'Smelter Look-up'!$J:$J,0)))</f>
        <v>123</v>
      </c>
      <c r="X17" s="210">
        <f t="shared" ca="1" si="3"/>
        <v>0</v>
      </c>
      <c r="AB17" s="211" t="str">
        <f t="shared" si="4"/>
        <v>GoldHeraeus Metals Hong Kong Ltd.</v>
      </c>
    </row>
    <row r="18" spans="1:28" s="210" customFormat="1" ht="20.100000000000001" customHeight="1">
      <c r="A18" s="165"/>
      <c r="B18" s="166" t="s">
        <v>1087</v>
      </c>
      <c r="C18" s="170" t="s">
        <v>14502</v>
      </c>
      <c r="D18" s="213"/>
      <c r="E18" s="166" t="str">
        <f ca="1">IF(ISERROR($V18),"",OFFSET('Smelter Look-up'!$D$4,$V18-4,0)&amp;"")</f>
        <v>GERMANY</v>
      </c>
      <c r="F18" s="166" t="str">
        <f ca="1">IF(ISERROR($V18),"",OFFSET('Smelter Look-up'!$E$4,$V18-4,0))</f>
        <v>CID000711</v>
      </c>
      <c r="G18" s="166" t="str">
        <f ca="1">IF(C18=$X$4,IF(ISERROR($V18),"Enter smelter details","RMI"),IF(ISERROR($V18),"",OFFSET('Smelter Look-up'!$F$4,$V18-4,0)))</f>
        <v>RMI</v>
      </c>
      <c r="H18" s="167">
        <f ca="1">IF(ISERROR($V18),"",OFFSET('Smelter Look-up'!$G$4,$V18-4,0))</f>
        <v>0</v>
      </c>
      <c r="I18" s="168" t="str">
        <f ca="1">IF(ISERROR($V18),"",OFFSET('Smelter Look-up'!$H$4,$V18-4,0))</f>
        <v>Hanau</v>
      </c>
      <c r="J18" s="168" t="str">
        <f ca="1">IF(ISERROR($V18),"",OFFSET('Smelter Look-up'!$I$4,$V18-4,0))</f>
        <v>Hessen</v>
      </c>
      <c r="K18" s="207"/>
      <c r="L18" s="207"/>
      <c r="M18" s="207"/>
      <c r="N18" s="207"/>
      <c r="O18" s="207"/>
      <c r="P18" s="169"/>
      <c r="Q18" s="208"/>
      <c r="R18" s="166" t="str">
        <f ca="1">IF(ISERROR($V18),"",OFFSET('Smelter Look-up'!$C$4,$V18-4,0)&amp;"")</f>
        <v>Heraeus Germany GmbH Co. KG</v>
      </c>
      <c r="S18" s="165" t="str">
        <f t="shared" ca="1" si="2"/>
        <v>DE</v>
      </c>
      <c r="T18" s="165" t="str">
        <f ca="1">IF(B18="","",IF(ISERROR(MATCH($J18,SorP!$B$1:$B$6261,0)),"",INDIRECT("'SorP'!$A$"&amp;MATCH($S18&amp;$J18,SorP!C:C,0))))</f>
        <v>DE-HE</v>
      </c>
      <c r="U18" s="185"/>
      <c r="V18" s="209">
        <f>IF(C18="",NA(),IF(OR(C18="Smelter not listed",C18="Smelter not yet identified"),MATCH($B18&amp;$D18,'Smelter Look-up'!$J:$J,0),MATCH($B18&amp;$C18,'Smelter Look-up'!$J:$J,0)))</f>
        <v>121</v>
      </c>
      <c r="X18" s="210">
        <f t="shared" ca="1" si="3"/>
        <v>0</v>
      </c>
      <c r="AB18" s="211" t="str">
        <f t="shared" si="4"/>
        <v>GoldHeraeus Germany GmbH Co. KG</v>
      </c>
    </row>
    <row r="19" spans="1:28" s="210" customFormat="1" ht="38.25">
      <c r="A19" s="165"/>
      <c r="B19" s="166" t="s">
        <v>1087</v>
      </c>
      <c r="C19" s="170" t="s">
        <v>50</v>
      </c>
      <c r="D19" s="213"/>
      <c r="E19" s="166" t="str">
        <f ca="1">IF(ISERROR($V19),"",OFFSET('Smelter Look-up'!$D$4,$V19-4,0)&amp;"")</f>
        <v>ITALY</v>
      </c>
      <c r="F19" s="166" t="str">
        <f ca="1">IF(ISERROR($V19),"",OFFSET('Smelter Look-up'!$E$4,$V19-4,0))</f>
        <v>CID000233</v>
      </c>
      <c r="G19" s="166" t="str">
        <f ca="1">IF(C19=$X$4,IF(ISERROR($V19),"Enter smelter details","RMI"),IF(ISERROR($V19),"",OFFSET('Smelter Look-up'!$F$4,$V19-4,0)))</f>
        <v>RMI</v>
      </c>
      <c r="H19" s="167">
        <f ca="1">IF(ISERROR($V19),"",OFFSET('Smelter Look-up'!$G$4,$V19-4,0))</f>
        <v>0</v>
      </c>
      <c r="I19" s="168" t="str">
        <f ca="1">IF(ISERROR($V19),"",OFFSET('Smelter Look-up'!$H$4,$V19-4,0))</f>
        <v>Badia Al Pino AR</v>
      </c>
      <c r="J19" s="168" t="str">
        <f ca="1">IF(ISERROR($V19),"",OFFSET('Smelter Look-up'!$I$4,$V19-4,0))</f>
        <v>Arezzo</v>
      </c>
      <c r="K19" s="207"/>
      <c r="L19" s="207"/>
      <c r="M19" s="207"/>
      <c r="N19" s="207"/>
      <c r="O19" s="207"/>
      <c r="P19" s="169"/>
      <c r="Q19" s="208"/>
      <c r="R19" s="166" t="str">
        <f ca="1">IF(ISERROR($V19),"",OFFSET('Smelter Look-up'!$C$4,$V19-4,0)&amp;"")</f>
        <v>Chimet S.p.A.</v>
      </c>
      <c r="S19" s="165" t="str">
        <f t="shared" ca="1" si="2"/>
        <v>IT</v>
      </c>
      <c r="T19" s="165" t="str">
        <f ca="1">IF(B19="","",IF(ISERROR(MATCH($J19,SorP!$B$1:$B$6261,0)),"",INDIRECT("'SorP'!$A$"&amp;MATCH($S19&amp;$J19,SorP!C:C,0))))</f>
        <v>IT-AR</v>
      </c>
      <c r="U19" s="185"/>
      <c r="V19" s="209">
        <f>IF(C19="",NA(),IF(OR(C19="Smelter not listed",C19="Smelter not yet identified"),MATCH($B19&amp;$D19,'Smelter Look-up'!$J:$J,0),MATCH($B19&amp;$C19,'Smelter Look-up'!$J:$J,0)))</f>
        <v>67</v>
      </c>
      <c r="X19" s="210">
        <f t="shared" ca="1" si="3"/>
        <v>0</v>
      </c>
      <c r="AB19" s="211" t="str">
        <f t="shared" si="4"/>
        <v>GoldChimet S.p.A.</v>
      </c>
    </row>
    <row r="20" spans="1:28" s="210" customFormat="1" ht="25.5">
      <c r="A20" s="165"/>
      <c r="B20" s="166" t="s">
        <v>1087</v>
      </c>
      <c r="C20" s="170" t="s">
        <v>866</v>
      </c>
      <c r="D20" s="213"/>
      <c r="E20" s="166" t="str">
        <f ca="1">IF(ISERROR($V20),"",OFFSET('Smelter Look-up'!$D$4,$V20-4,0)&amp;"")</f>
        <v>JAPAN</v>
      </c>
      <c r="F20" s="166" t="str">
        <f ca="1">IF(ISERROR($V20),"",OFFSET('Smelter Look-up'!$E$4,$V20-4,0))</f>
        <v>CID000401</v>
      </c>
      <c r="G20" s="166" t="str">
        <f ca="1">IF(C20=$X$4,IF(ISERROR($V20),"Enter smelter details","RMI"),IF(ISERROR($V20),"",OFFSET('Smelter Look-up'!$F$4,$V20-4,0)))</f>
        <v>RMI</v>
      </c>
      <c r="H20" s="167">
        <f ca="1">IF(ISERROR($V20),"",OFFSET('Smelter Look-up'!$G$4,$V20-4,0))</f>
        <v>0</v>
      </c>
      <c r="I20" s="168" t="str">
        <f ca="1">IF(ISERROR($V20),"",OFFSET('Smelter Look-up'!$H$4,$V20-4,0))</f>
        <v>Kosaka-machi, Kazuni-gun</v>
      </c>
      <c r="J20" s="168" t="str">
        <f ca="1">IF(ISERROR($V20),"",OFFSET('Smelter Look-up'!$I$4,$V20-4,0))</f>
        <v>Akita</v>
      </c>
      <c r="K20" s="207"/>
      <c r="L20" s="207"/>
      <c r="M20" s="207"/>
      <c r="N20" s="207"/>
      <c r="O20" s="207"/>
      <c r="P20" s="169"/>
      <c r="Q20" s="208"/>
      <c r="R20" s="166" t="str">
        <f ca="1">IF(ISERROR($V20),"",OFFSET('Smelter Look-up'!$C$4,$V20-4,0)&amp;"")</f>
        <v>Dowa</v>
      </c>
      <c r="S20" s="165" t="str">
        <f t="shared" ca="1" si="2"/>
        <v>JP</v>
      </c>
      <c r="T20" s="165" t="str">
        <f ca="1">IF(B20="","",IF(ISERROR(MATCH($J20,SorP!$B$1:$B$6261,0)),"",INDIRECT("'SorP'!$A$"&amp;MATCH($S20&amp;$J20,SorP!C:C,0))))</f>
        <v>JP-05</v>
      </c>
      <c r="U20" s="185"/>
      <c r="V20" s="209">
        <f>IF(C20="",NA(),IF(OR(C20="Smelter not listed",C20="Smelter not yet identified"),MATCH($B20&amp;$D20,'Smelter Look-up'!$J:$J,0),MATCH($B20&amp;$C20,'Smelter Look-up'!$J:$J,0)))</f>
        <v>79</v>
      </c>
      <c r="X20" s="210">
        <f t="shared" ca="1" si="3"/>
        <v>0</v>
      </c>
      <c r="AB20" s="211" t="str">
        <f t="shared" si="4"/>
        <v>GoldDowa</v>
      </c>
    </row>
    <row r="21" spans="1:28" s="210" customFormat="1" ht="89.25">
      <c r="A21" s="165"/>
      <c r="B21" s="166" t="s">
        <v>1087</v>
      </c>
      <c r="C21" s="170" t="s">
        <v>11980</v>
      </c>
      <c r="D21" s="213"/>
      <c r="E21" s="166" t="str">
        <f ca="1">IF(ISERROR($V21),"",OFFSET('Smelter Look-up'!$D$4,$V21-4,0)&amp;"")</f>
        <v>MEXICO</v>
      </c>
      <c r="F21" s="166" t="str">
        <f ca="1">IF(ISERROR($V21),"",OFFSET('Smelter Look-up'!$E$4,$V21-4,0))</f>
        <v>CID001161</v>
      </c>
      <c r="G21" s="166" t="str">
        <f ca="1">IF(C21=$X$4,IF(ISERROR($V21),"Enter smelter details","RMI"),IF(ISERROR($V21),"",OFFSET('Smelter Look-up'!$F$4,$V21-4,0)))</f>
        <v>RMI</v>
      </c>
      <c r="H21" s="167">
        <f ca="1">IF(ISERROR($V21),"",OFFSET('Smelter Look-up'!$G$4,$V21-4,0))</f>
        <v>0</v>
      </c>
      <c r="I21" s="168" t="str">
        <f ca="1">IF(ISERROR($V21),"",OFFSET('Smelter Look-up'!$H$4,$V21-4,0))</f>
        <v>Torreon</v>
      </c>
      <c r="J21" s="168" t="str">
        <f ca="1">IF(ISERROR($V21),"",OFFSET('Smelter Look-up'!$I$4,$V21-4,0))</f>
        <v>Coahuila de Zaragoza</v>
      </c>
      <c r="K21" s="207"/>
      <c r="L21" s="207"/>
      <c r="M21" s="207"/>
      <c r="N21" s="207"/>
      <c r="O21" s="207"/>
      <c r="P21" s="169"/>
      <c r="Q21" s="208"/>
      <c r="R21" s="166" t="str">
        <f ca="1">IF(ISERROR($V21),"",OFFSET('Smelter Look-up'!$C$4,$V21-4,0)&amp;"")</f>
        <v>Metalurgica Met-Mex Penoles S.A. De C.V.</v>
      </c>
      <c r="S21" s="165" t="str">
        <f t="shared" ca="1" si="2"/>
        <v>MX</v>
      </c>
      <c r="T21" s="165" t="str">
        <f ca="1">IF(B21="","",IF(ISERROR(MATCH($J21,SorP!$B$1:$B$6261,0)),"",INDIRECT("'SorP'!$A$"&amp;MATCH($S21&amp;$J21,SorP!C:C,0))))</f>
        <v>MX-COA</v>
      </c>
      <c r="U21" s="185"/>
      <c r="V21" s="209">
        <f>IF(C21="",NA(),IF(OR(C21="Smelter not listed",C21="Smelter not yet identified"),MATCH($B21&amp;$D21,'Smelter Look-up'!$J:$J,0),MATCH($B21&amp;$C21,'Smelter Look-up'!$J:$J,0)))</f>
        <v>198</v>
      </c>
      <c r="X21" s="210">
        <f t="shared" ca="1" si="3"/>
        <v>0</v>
      </c>
      <c r="AB21" s="211" t="str">
        <f t="shared" si="4"/>
        <v>GoldMetalurgica Met-Mex Penoles S.A. De C.V.</v>
      </c>
    </row>
    <row r="22" spans="1:28" s="210" customFormat="1" ht="63.75">
      <c r="A22" s="165"/>
      <c r="B22" s="166" t="s">
        <v>1087</v>
      </c>
      <c r="C22" s="170" t="s">
        <v>668</v>
      </c>
      <c r="D22" s="213"/>
      <c r="E22" s="166" t="str">
        <f ca="1">IF(ISERROR($V22),"",OFFSET('Smelter Look-up'!$D$4,$V22-4,0)&amp;"")</f>
        <v>UNITED STATES OF AMERICA</v>
      </c>
      <c r="F22" s="166" t="str">
        <f ca="1">IF(ISERROR($V22),"",OFFSET('Smelter Look-up'!$E$4,$V22-4,0))</f>
        <v>CID000969</v>
      </c>
      <c r="G22" s="166" t="str">
        <f ca="1">IF(C22=$X$4,IF(ISERROR($V22),"Enter smelter details","RMI"),IF(ISERROR($V22),"",OFFSET('Smelter Look-up'!$F$4,$V22-4,0)))</f>
        <v>RMI</v>
      </c>
      <c r="H22" s="167">
        <f ca="1">IF(ISERROR($V22),"",OFFSET('Smelter Look-up'!$G$4,$V22-4,0))</f>
        <v>0</v>
      </c>
      <c r="I22" s="168" t="str">
        <f ca="1">IF(ISERROR($V22),"",OFFSET('Smelter Look-up'!$H$4,$V22-4,0))</f>
        <v>Salt Lake City</v>
      </c>
      <c r="J22" s="168" t="str">
        <f ca="1">IF(ISERROR($V22),"",OFFSET('Smelter Look-up'!$I$4,$V22-4,0))</f>
        <v>Utah</v>
      </c>
      <c r="K22" s="207"/>
      <c r="L22" s="207"/>
      <c r="M22" s="207"/>
      <c r="N22" s="207"/>
      <c r="O22" s="207"/>
      <c r="P22" s="169"/>
      <c r="Q22" s="208"/>
      <c r="R22" s="166" t="str">
        <f ca="1">IF(ISERROR($V22),"",OFFSET('Smelter Look-up'!$C$4,$V22-4,0)&amp;"")</f>
        <v>Kennecott Utah Copper LLC</v>
      </c>
      <c r="S22" s="165" t="str">
        <f t="shared" ca="1" si="2"/>
        <v>US</v>
      </c>
      <c r="T22" s="165" t="str">
        <f ca="1">IF(B22="","",IF(ISERROR(MATCH($J22,SorP!$B$1:$B$6261,0)),"",INDIRECT("'SorP'!$A$"&amp;MATCH($S22&amp;$J22,SorP!C:C,0))))</f>
        <v>US-UT</v>
      </c>
      <c r="U22" s="185"/>
      <c r="V22" s="209">
        <f>IF(C22="",NA(),IF(OR(C22="Smelter not listed",C22="Smelter not yet identified"),MATCH($B22&amp;$D22,'Smelter Look-up'!$J:$J,0),MATCH($B22&amp;$C22,'Smelter Look-up'!$J:$J,0)))</f>
        <v>157</v>
      </c>
      <c r="X22" s="210">
        <f t="shared" ca="1" si="3"/>
        <v>0</v>
      </c>
      <c r="AB22" s="211" t="str">
        <f t="shared" si="4"/>
        <v>GoldKennecott Utah Copper LLC</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50CD0EA-DA75-4563-8F3A-E1C52ECDDD9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MECA Electronics,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Design, manufacture, and sale of RF/Microwave equipment and components.</v>
      </c>
      <c r="C6" s="86" t="str">
        <f ca="1">IF(H6=1,J6,I6)</f>
        <v>Complete</v>
      </c>
      <c r="D6" s="92" t="str">
        <f>IF(H6=1,"Click here to provide a Description of Scope","")</f>
        <v/>
      </c>
      <c r="E6" s="19" t="s">
        <v>1261</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Nicholas Dzwonczyk</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ndzwonczyk@e-meca.com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973 625-0661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N. Dzwonczyk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ndzwonczyk@e-meca.com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0934C4D-86A4-4F18-8DE5-8A6D9E14B785}"/>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a77a8a4a-8eca-4111-8955-baf1eb7ad376}" enabled="0" method="" siteId="{a77a8a4a-8eca-4111-8955-baf1eb7ad376}"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lastPrinted>2015-04-21T20:47:43Z</cp:lastPrinted>
  <dcterms:created xsi:type="dcterms:W3CDTF">2010-06-21T21:00:23Z</dcterms:created>
  <dcterms:modified xsi:type="dcterms:W3CDTF">2026-05-15T20:46:57Z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