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https://sjminirf-my.sharepoint.com/personal/jennifer_huang_minirf_com/Documents/Documents/MiniRF II/MiniRF/CMRT/CMRT 6.6/"/>
    </mc:Choice>
  </mc:AlternateContent>
  <xr:revisionPtr revIDLastSave="34" documentId="8_{C3A840FA-8483-4168-A6D3-6D4E8E0AED55}" xr6:coauthVersionLast="47" xr6:coauthVersionMax="47" xr10:uidLastSave="{9DB7BB88-163E-4161-9F57-13EBF21DF6AB}"/>
  <workbookProtection workbookAlgorithmName="SHA-512" workbookHashValue="3ODvpALY1x61Cvd0Oofqg97ZNd7+40fUrp7alBOJ/L1ruQ6E/ma5lVUydUoqfrQWad9IBPUQppnTUXDHO2Yr1A==" workbookSaltValue="WfJGw/J05jzXDaJ4irXs0g==" workbookSpinCount="100000" lockStructure="1"/>
  <bookViews>
    <workbookView xWindow="-110" yWindow="-110" windowWidth="19420" windowHeight="1030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<sst xmlns="http://schemas.openxmlformats.org/spreadsheetml/2006/main" count="22546" uniqueCount="15887">
  <si>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</si>
  <si>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</si>
  <si>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</si>
  <si>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</si>
  <si>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</si>
  <si>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</si>
  <si>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</si>
  <si>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</si>
  <si>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</si>
  <si>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</si>
  <si>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</si>
  <si>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</si>
  <si>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</si>
  <si>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</si>
  <si>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</si>
  <si>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</si>
  <si>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</si>
  <si>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</si>
  <si>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</si>
  <si>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</si>
  <si>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</si>
  <si>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</si>
  <si>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</si>
  <si>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</si>
  <si>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</si>
  <si>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</si>
  <si>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</si>
  <si>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</si>
  <si>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</si>
  <si>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</si>
  <si>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</si>
  <si>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</si>
  <si>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</si>
  <si>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</si>
  <si>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</si>
  <si>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</si>
  <si>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</si>
  <si>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</si>
  <si>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</si>
  <si>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</si>
  <si>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</si>
  <si>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</si>
  <si>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</si>
  <si>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</si>
  <si>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</si>
  <si>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</si>
  <si>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</si>
  <si>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</si>
  <si>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</si>
  <si>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</si>
  <si>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</si>
  <si>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</si>
  <si>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</si>
  <si>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</si>
  <si>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</si>
  <si>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</si>
  <si>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</si>
  <si>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</si>
  <si>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</si>
  <si>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</si>
  <si>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</si>
  <si>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</si>
  <si>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</si>
  <si>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</si>
  <si>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</si>
  <si>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</si>
  <si>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</si>
  <si>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</si>
  <si>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</si>
  <si>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</si>
  <si>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</si>
  <si>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</si>
  <si>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</si>
  <si>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</si>
  <si>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</si>
  <si>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</si>
  <si>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</si>
  <si>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</si>
  <si>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</si>
  <si>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</si>
  <si>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</si>
  <si>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</si>
  <si>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</si>
  <si>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</si>
  <si>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</si>
  <si>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</si>
  <si>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</si>
  <si>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</si>
  <si>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</si>
  <si>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</si>
  <si>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</si>
  <si>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</si>
  <si>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</si>
  <si>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</si>
  <si>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</si>
  <si>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</si>
  <si>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</si>
  <si>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</si>
  <si>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</si>
  <si>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</si>
  <si>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</si>
  <si>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</si>
  <si>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</si>
  <si>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</si>
  <si>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</si>
  <si>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</si>
  <si>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</si>
  <si>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</si>
  <si>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</si>
  <si>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</si>
  <si>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</si>
  <si>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</si>
  <si>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</si>
  <si>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</si>
  <si>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</si>
  <si>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</si>
  <si>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</si>
  <si>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</si>
  <si>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</si>
  <si>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</si>
  <si>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</si>
  <si>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</si>
  <si>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</si>
  <si>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</si>
  <si>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</si>
  <si>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</si>
  <si>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</si>
  <si>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</si>
  <si>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</si>
  <si>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</si>
  <si>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</si>
  <si>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</si>
  <si>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</si>
  <si>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</si>
  <si>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</si>
  <si>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</si>
  <si>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</si>
  <si>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</si>
  <si>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</si>
  <si>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</si>
  <si>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</si>
  <si>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</si>
  <si>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</si>
  <si>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</si>
  <si>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</si>
  <si>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</si>
  <si>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</si>
  <si>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</si>
  <si>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</si>
  <si>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</si>
  <si>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</si>
  <si>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</si>
  <si>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</si>
  <si>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</si>
  <si>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</si>
  <si>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</si>
  <si>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</si>
  <si>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</si>
  <si>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</si>
  <si>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</si>
  <si>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</si>
  <si>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</si>
  <si>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</si>
  <si>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</si>
  <si>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</si>
  <si>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</si>
  <si>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</si>
  <si>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</si>
  <si>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</si>
  <si>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</si>
  <si>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</si>
  <si>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</si>
  <si>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</si>
  <si>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</si>
  <si>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</si>
  <si>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</si>
  <si>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</si>
  <si>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</si>
  <si>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</si>
  <si>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</si>
  <si>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</si>
  <si>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</si>
  <si>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</si>
  <si>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</si>
  <si>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</si>
  <si>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</si>
  <si>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</si>
  <si>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</si>
  <si>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</si>
  <si>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</si>
  <si>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</si>
  <si>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</si>
  <si>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</si>
  <si>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</si>
  <si>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</si>
  <si>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</si>
  <si>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</si>
  <si>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</si>
  <si>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</si>
  <si>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</si>
  <si>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</si>
  <si>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</si>
  <si>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</si>
  <si>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</si>
  <si>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</si>
  <si>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</si>
  <si>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</si>
  <si>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</si>
  <si>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</si>
  <si>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</si>
  <si>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</si>
  <si>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</si>
  <si>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</si>
  <si>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</si>
  <si>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</si>
  <si>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</si>
  <si>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</si>
  <si>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</si>
  <si>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</si>
  <si>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</si>
  <si>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</si>
  <si>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</si>
  <si>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</si>
  <si>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</si>
  <si>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</si>
  <si>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</si>
  <si>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</si>
  <si>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</si>
  <si>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</si>
  <si>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</si>
  <si>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</si>
  <si>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</si>
  <si>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</si>
  <si>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</si>
  <si>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</si>
  <si>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</si>
  <si>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</si>
  <si>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</si>
  <si>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</si>
  <si>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</si>
  <si>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</si>
  <si>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</si>
  <si>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</si>
  <si>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</si>
  <si>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</si>
  <si>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</si>
  <si>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</si>
  <si>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</si>
  <si>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</si>
  <si>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</si>
  <si>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</si>
  <si>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</si>
  <si>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</si>
  <si>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</si>
  <si>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</si>
  <si>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</si>
  <si>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</si>
  <si>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</si>
  <si>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</si>
  <si>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</si>
  <si>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</si>
  <si>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</si>
  <si>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</si>
  <si>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</si>
  <si>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</si>
  <si>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</si>
  <si>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</si>
  <si>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</si>
  <si>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</si>
  <si>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</si>
  <si>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</si>
  <si>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</si>
  <si>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</si>
  <si>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</si>
  <si>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</si>
  <si>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</si>
  <si>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</si>
  <si>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</si>
  <si>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</si>
  <si>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</si>
  <si>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</si>
  <si>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</si>
  <si>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</si>
  <si>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</si>
  <si>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</si>
  <si>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</si>
  <si>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</si>
  <si>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</si>
  <si>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</si>
  <si>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</si>
  <si>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</si>
  <si>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</si>
  <si>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</si>
  <si>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</si>
  <si>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</si>
  <si>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</si>
  <si>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</si>
  <si>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</si>
  <si>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</si>
  <si>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</si>
  <si>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</si>
  <si>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</si>
  <si>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</si>
  <si>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</si>
  <si>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</si>
  <si>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</si>
  <si>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</si>
  <si>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</si>
  <si>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</si>
  <si>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</si>
  <si>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</si>
  <si>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</si>
  <si>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</si>
  <si>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</si>
  <si>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</si>
  <si>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</si>
  <si>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</si>
  <si>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</si>
  <si>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</si>
  <si>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</si>
  <si>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</si>
  <si>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</si>
  <si>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</si>
  <si>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</si>
  <si>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</si>
  <si>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</si>
  <si>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</si>
  <si>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</si>
  <si>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</si>
  <si>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</si>
  <si>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</si>
  <si>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</si>
  <si>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</si>
  <si>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</si>
  <si>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</si>
  <si>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</si>
  <si>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</si>
  <si>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</si>
  <si>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</si>
  <si>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</si>
  <si>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</si>
  <si>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</si>
  <si>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</si>
  <si>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</si>
  <si>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</si>
  <si>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</si>
  <si>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</si>
  <si>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</si>
  <si>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</si>
  <si>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</si>
  <si>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</si>
  <si>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</si>
  <si>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</si>
  <si>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</si>
  <si>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</si>
  <si>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</si>
  <si>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</si>
  <si>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</si>
  <si>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</si>
  <si>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</si>
  <si>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</si>
  <si>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</si>
  <si>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</si>
  <si>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</si>
  <si>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</si>
  <si>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</si>
  <si>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</si>
  <si>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</si>
  <si>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</si>
  <si>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</si>
  <si>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</si>
  <si>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</si>
  <si>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</si>
  <si>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</si>
  <si>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</si>
  <si>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</si>
  <si>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</si>
  <si>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</si>
  <si>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</si>
  <si>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</si>
  <si>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</si>
  <si>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</si>
  <si>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</si>
  <si>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</si>
  <si>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</si>
  <si>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</si>
  <si>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</si>
  <si>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</si>
  <si>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</si>
  <si>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</si>
  <si>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</si>
  <si>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</si>
  <si>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</si>
  <si>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</si>
  <si>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</si>
  <si>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</si>
  <si>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</si>
  <si>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</si>
  <si>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</si>
  <si>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</si>
  <si>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</si>
  <si>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</si>
  <si>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</si>
  <si>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</si>
  <si>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</si>
  <si>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</si>
  <si>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</si>
  <si>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</si>
  <si>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</si>
  <si>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</si>
  <si>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</si>
  <si>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</si>
  <si>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</si>
  <si>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</si>
  <si>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</si>
  <si>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</si>
  <si>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</si>
  <si>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</si>
  <si>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</si>
  <si>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</si>
  <si>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</si>
  <si>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</si>
  <si>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</si>
  <si>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</si>
  <si>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</si>
  <si>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</si>
  <si>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</si>
  <si>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</si>
  <si>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</si>
  <si>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</si>
  <si>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</si>
  <si>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</si>
  <si>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</si>
  <si>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</si>
  <si>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</si>
  <si>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</si>
  <si>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</si>
  <si>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</si>
  <si>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</si>
  <si>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</si>
  <si>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</si>
  <si>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</si>
  <si>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</si>
  <si>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</si>
  <si>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</si>
  <si>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</si>
  <si>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</si>
  <si>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</si>
  <si>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</si>
  <si>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</si>
  <si>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</si>
  <si>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</si>
  <si>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</si>
  <si>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</si>
  <si>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</si>
  <si>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</si>
  <si>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</si>
  <si>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</si>
  <si>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</si>
  <si>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</si>
  <si>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</si>
  <si>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</si>
  <si>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</si>
  <si>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</si>
  <si>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</si>
  <si>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</si>
  <si>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</si>
  <si>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</si>
  <si>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</si>
  <si>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</si>
  <si>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</si>
  <si>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</si>
  <si>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</si>
  <si>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</si>
  <si>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</si>
  <si>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</si>
  <si>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</si>
  <si>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</si>
  <si>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</si>
  <si>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</si>
  <si>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</si>
  <si>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</si>
  <si>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</si>
  <si>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</si>
  <si>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</si>
  <si>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</si>
  <si>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</si>
  <si>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</si>
  <si>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</si>
  <si>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</si>
  <si>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</si>
  <si>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</si>
  <si>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</si>
  <si>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</si>
  <si>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</si>
  <si>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</si>
  <si>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</si>
  <si>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</si>
  <si>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</si>
  <si>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</si>
  <si>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</si>
  <si>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</si>
  <si>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</si>
  <si>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</si>
  <si>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</si>
  <si>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</si>
  <si>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</si>
  <si>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</si>
  <si>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</si>
  <si>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</si>
  <si>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</si>
  <si>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</si>
  <si>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</si>
  <si>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</si>
  <si>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</si>
  <si>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</si>
  <si>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</si>
  <si>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</si>
  <si>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</si>
  <si>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</si>
  <si>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</si>
  <si>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</si>
  <si>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</si>
  <si>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</si>
  <si>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</si>
  <si>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</si>
  <si>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</si>
  <si>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</si>
  <si>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</si>
  <si>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</si>
  <si>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</si>
  <si>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</si>
  <si>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</si>
  <si>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</si>
  <si>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</si>
  <si>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</si>
  <si>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</si>
  <si>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</si>
  <si>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</si>
  <si>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</si>
  <si>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</si>
  <si>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</si>
  <si>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</si>
  <si>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</si>
  <si>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</si>
  <si>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</si>
  <si>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</si>
  <si>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</si>
  <si>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</si>
  <si>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</si>
  <si>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</si>
  <si>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</si>
  <si>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</si>
  <si>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</si>
  <si>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</si>
  <si>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</si>
  <si>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</si>
  <si>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</si>
  <si>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</si>
  <si>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</si>
  <si>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</si>
  <si>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</si>
  <si>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</si>
  <si>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</si>
  <si>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</si>
  <si>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</si>
  <si>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</si>
  <si>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</si>
  <si>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</si>
  <si>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</si>
  <si>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</si>
  <si>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</si>
  <si>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</si>
  <si>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</si>
  <si>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</si>
  <si>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</si>
  <si>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</si>
  <si>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</si>
  <si>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</si>
  <si>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</si>
  <si>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</si>
  <si>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</si>
  <si>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</si>
  <si>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</si>
  <si>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</si>
  <si>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</si>
  <si>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</si>
  <si>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</si>
  <si>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</si>
  <si>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</si>
  <si>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</si>
  <si>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</si>
  <si>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</si>
  <si>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</si>
  <si>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</si>
  <si>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</si>
  <si>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</si>
  <si>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</si>
  <si>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</si>
  <si>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</si>
  <si>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</si>
  <si>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</si>
  <si>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</si>
  <si>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</si>
  <si>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</si>
  <si>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</si>
  <si>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</si>
  <si>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</si>
  <si>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</si>
  <si>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</si>
  <si>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</si>
  <si>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</si>
  <si>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</si>
  <si>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</si>
  <si>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</si>
  <si>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</si>
  <si>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</si>
  <si>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</si>
  <si>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</si>
  <si>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</si>
  <si>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</si>
  <si>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</si>
  <si>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</si>
  <si>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</si>
  <si>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</si>
  <si>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</si>
  <si>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</si>
  <si>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</si>
  <si>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</si>
  <si>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</si>
  <si>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</si>
  <si>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</si>
  <si>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</si>
  <si>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</si>
  <si>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</si>
  <si>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</si>
  <si>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</si>
  <si>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</si>
  <si>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</si>
  <si>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</si>
  <si>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</si>
  <si>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</si>
  <si>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</si>
  <si>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</si>
  <si>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</si>
  <si>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</si>
  <si>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</si>
  <si>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</si>
  <si>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</si>
  <si>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</si>
  <si>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</si>
  <si>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</si>
  <si>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</si>
  <si>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</si>
  <si>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</si>
  <si>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</si>
  <si>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</si>
  <si>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</si>
  <si>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</si>
  <si>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</si>
  <si>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</si>
  <si>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</si>
  <si>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</si>
  <si>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</si>
  <si>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</si>
  <si>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</si>
  <si>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</si>
  <si>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</si>
  <si>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</si>
  <si>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</si>
  <si>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</si>
  <si>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</si>
  <si>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</si>
  <si>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</si>
  <si>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</si>
  <si>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</si>
  <si>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</si>
  <si>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</si>
  <si>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</si>
  <si>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</si>
  <si>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</si>
  <si>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</si>
  <si>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</si>
  <si>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</si>
  <si>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</si>
  <si>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</si>
  <si>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</si>
  <si>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</si>
  <si>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</si>
  <si>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</si>
  <si>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</si>
  <si>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</si>
  <si>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</si>
  <si>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</si>
  <si>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</si>
  <si>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</si>
  <si>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</si>
  <si>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</si>
  <si>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</si>
  <si>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</si>
  <si>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</si>
  <si>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</si>
  <si>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</si>
  <si>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</si>
  <si>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</si>
  <si>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</si>
  <si>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</si>
  <si>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</si>
  <si>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</si>
  <si>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</si>
  <si>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</si>
  <si>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</si>
  <si>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</si>
  <si>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</si>
  <si>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</si>
  <si>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</si>
  <si>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</si>
  <si>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</si>
  <si>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</si>
  <si>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</si>
  <si>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</si>
  <si>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</si>
  <si>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</si>
  <si>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</si>
  <si>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</si>
  <si>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</si>
  <si>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</si>
  <si>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</si>
  <si>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</si>
  <si>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</si>
  <si>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</si>
  <si>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</si>
  <si>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</si>
  <si>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</si>
  <si>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</si>
  <si>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</si>
  <si>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</si>
  <si>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</si>
  <si>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</si>
  <si>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</si>
  <si>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</si>
  <si>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</si>
  <si>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</si>
  <si>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</si>
  <si>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</si>
  <si>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</si>
  <si>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</si>
  <si>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</si>
  <si>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</si>
  <si>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</si>
  <si>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</si>
  <si>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</si>
  <si>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</si>
  <si>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</si>
  <si>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</si>
  <si>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</si>
  <si>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</si>
  <si>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</si>
  <si>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</si>
  <si>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</si>
  <si>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</si>
  <si>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</si>
  <si>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</si>
  <si>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</si>
  <si>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</si>
  <si>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</si>
  <si>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</si>
  <si>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</si>
  <si>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</si>
  <si>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</si>
  <si>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</si>
  <si>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</si>
  <si>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</si>
  <si>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</si>
  <si>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</si>
  <si>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</si>
  <si>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</si>
  <si>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</si>
  <si>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</si>
  <si>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</si>
  <si>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</si>
  <si>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</si>
  <si>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</si>
  <si>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</si>
  <si>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</si>
  <si>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</si>
  <si>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</si>
  <si>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</si>
  <si>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</si>
  <si>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</si>
  <si>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</si>
  <si>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</si>
  <si>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</si>
  <si>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</si>
  <si>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</si>
  <si>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</si>
  <si>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</si>
  <si>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</si>
  <si>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</si>
  <si>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</si>
  <si>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</si>
  <si>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</si>
  <si>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</si>
  <si>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</si>
  <si>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</si>
  <si>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</si>
  <si>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</si>
  <si>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</si>
  <si>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</si>
  <si>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</si>
  <si>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</si>
  <si>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</si>
  <si>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</si>
  <si>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</si>
  <si>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</si>
  <si>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</si>
  <si>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</si>
  <si>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</si>
  <si>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</si>
  <si>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</si>
  <si>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</si>
  <si>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</si>
  <si>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</si>
  <si>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</si>
  <si>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</si>
  <si>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</si>
  <si>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</si>
  <si>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</si>
  <si>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</si>
  <si>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</si>
  <si>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</si>
  <si>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</si>
  <si>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</si>
  <si>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</si>
  <si>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</si>
  <si>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</si>
  <si>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</si>
  <si>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</si>
  <si>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</si>
  <si>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</si>
  <si>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</si>
  <si>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</si>
  <si>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</si>
  <si>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</si>
  <si>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</si>
  <si>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</si>
  <si>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</si>
  <si>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</si>
  <si>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</si>
  <si>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</si>
  <si>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</si>
  <si>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</si>
  <si>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</si>
  <si>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</si>
  <si>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</si>
  <si>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</si>
  <si>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</si>
  <si>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</si>
  <si>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</si>
  <si>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</si>
  <si>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</si>
  <si>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</si>
  <si>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</si>
  <si>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</si>
  <si>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</si>
  <si>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</si>
  <si>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</si>
  <si>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</si>
  <si>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</si>
  <si>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</si>
  <si>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</si>
  <si>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</si>
  <si>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</si>
  <si>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</si>
  <si>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</si>
  <si>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</si>
  <si>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</si>
  <si>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</si>
  <si>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</si>
  <si>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</si>
  <si>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</si>
  <si>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</si>
  <si>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</si>
  <si>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</si>
  <si>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</si>
  <si>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</si>
  <si>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</si>
  <si>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</si>
  <si>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</si>
  <si>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</si>
  <si>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</si>
  <si>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</si>
  <si>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</si>
  <si>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</si>
  <si>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</si>
  <si>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</si>
  <si>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</si>
  <si>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</si>
  <si>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</si>
  <si>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</si>
  <si>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</si>
  <si>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</si>
  <si>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</si>
  <si>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</si>
  <si>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</si>
  <si>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</si>
  <si>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</si>
  <si>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</si>
  <si>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</si>
  <si>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</si>
  <si>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</si>
  <si>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</si>
  <si>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</si>
  <si>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</si>
  <si>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</si>
  <si>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</si>
  <si>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</si>
  <si>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</si>
  <si>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</si>
  <si>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</si>
  <si>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</si>
  <si>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</si>
  <si>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</si>
  <si>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</si>
  <si>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</si>
  <si>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</si>
  <si>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</si>
  <si>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</si>
  <si>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</si>
  <si>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</si>
  <si>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</si>
  <si>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</si>
  <si>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</si>
  <si>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</si>
  <si>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</si>
  <si>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</si>
  <si>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</si>
  <si>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</si>
  <si>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</si>
  <si>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</si>
  <si>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</si>
  <si>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</si>
  <si>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</si>
  <si>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</si>
  <si>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</si>
  <si>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</si>
  <si>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</si>
  <si>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</si>
  <si>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</si>
  <si>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</si>
  <si>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</si>
  <si>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</si>
  <si>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</si>
  <si>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</si>
  <si>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</si>
  <si>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</si>
  <si>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</si>
  <si>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</si>
  <si>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</si>
  <si>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</si>
  <si>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</si>
  <si>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</si>
  <si>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</si>
  <si>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</si>
  <si>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</si>
  <si>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</si>
  <si>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</si>
  <si>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</si>
  <si>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</si>
  <si>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</si>
  <si>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</si>
  <si>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</si>
  <si>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</si>
  <si>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</si>
  <si>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</si>
  <si>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</si>
  <si>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</si>
  <si>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</si>
  <si>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</si>
  <si>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</si>
  <si>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</si>
  <si>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</si>
  <si>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</si>
  <si>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</si>
  <si>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</si>
  <si>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</si>
  <si>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</si>
  <si>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</si>
  <si>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</si>
  <si>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</si>
  <si>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</si>
  <si>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</si>
  <si>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</si>
  <si>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</si>
  <si>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</si>
  <si>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</si>
  <si>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</si>
  <si>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</si>
  <si>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</si>
  <si>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</si>
  <si>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</si>
  <si>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</si>
  <si>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</si>
  <si>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</si>
  <si>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</si>
  <si>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</si>
  <si>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</si>
  <si>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</si>
  <si>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</si>
  <si>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</si>
  <si>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</si>
  <si>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</si>
  <si>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</si>
  <si>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</si>
  <si>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</si>
  <si>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</si>
  <si>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</si>
  <si>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</si>
  <si>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</si>
  <si>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</si>
  <si>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</si>
  <si>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</si>
  <si>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</si>
  <si>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</si>
  <si>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</si>
  <si>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</si>
  <si>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</si>
  <si>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</si>
  <si>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</si>
  <si>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</si>
  <si>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</si>
  <si>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</si>
  <si>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</si>
  <si>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</si>
  <si>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</si>
  <si>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</si>
  <si>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</si>
  <si>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</si>
  <si>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</si>
  <si>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</si>
  <si>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</si>
  <si>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</si>
  <si>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</si>
  <si>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</si>
  <si>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</si>
  <si>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</si>
  <si>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</si>
  <si>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</si>
  <si>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</si>
  <si>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</si>
  <si>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</si>
  <si>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</si>
  <si>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</si>
  <si>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</si>
  <si>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</si>
  <si>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</si>
  <si>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</si>
  <si>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</si>
  <si>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</si>
  <si>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</si>
  <si>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</si>
  <si>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</si>
  <si>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</si>
  <si>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</si>
  <si>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</si>
  <si>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</si>
  <si>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</si>
  <si>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</si>
  <si>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</si>
  <si>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</si>
  <si>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</si>
  <si>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</si>
  <si>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</si>
  <si>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</si>
  <si>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</si>
  <si>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</si>
  <si>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</si>
  <si>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</si>
  <si>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</si>
  <si>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</si>
  <si>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</si>
  <si>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</si>
  <si>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</si>
  <si>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</si>
  <si>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</si>
  <si>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</si>
  <si>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</si>
  <si>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</si>
  <si>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</si>
  <si>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</si>
  <si>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</si>
  <si>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</si>
  <si>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</si>
  <si>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</si>
  <si>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</si>
  <si>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</si>
  <si>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</si>
  <si>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</si>
  <si>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</si>
  <si>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</si>
  <si>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</si>
  <si>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</si>
  <si>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</si>
  <si>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</si>
  <si>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</si>
  <si>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</si>
  <si>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</si>
  <si>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</si>
  <si>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</si>
  <si>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</si>
  <si>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</si>
  <si>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</si>
  <si>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</si>
  <si>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</si>
  <si>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</si>
  <si>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</si>
  <si>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</si>
  <si>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</si>
  <si>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</si>
  <si>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</si>
  <si>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</si>
  <si>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</si>
  <si>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</si>
  <si>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</si>
  <si>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</si>
  <si>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</si>
  <si>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</si>
  <si>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</si>
  <si>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</si>
  <si>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</si>
  <si>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</si>
  <si>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</si>
  <si>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</si>
  <si>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</si>
  <si>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</si>
  <si>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</si>
  <si>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</si>
  <si>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</si>
  <si>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</si>
  <si>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</si>
  <si>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</si>
  <si>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</si>
  <si>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</si>
  <si>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</si>
  <si>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</si>
  <si>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</si>
  <si>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</si>
  <si>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</si>
  <si>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</si>
  <si>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</si>
  <si>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</si>
  <si>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</si>
  <si>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</si>
  <si>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</si>
  <si>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</si>
  <si>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</si>
  <si>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</si>
  <si>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</si>
  <si>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</si>
  <si>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</si>
  <si>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</si>
  <si>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</si>
  <si>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</si>
  <si>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</si>
  <si>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</si>
  <si>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</si>
  <si>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</si>
  <si>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</si>
  <si>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</si>
  <si>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</si>
  <si>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</si>
  <si>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</si>
  <si>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</si>
  <si>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</si>
  <si>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</si>
  <si>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</si>
  <si>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</si>
  <si>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</si>
  <si>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</si>
  <si>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</si>
  <si>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</si>
  <si>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</si>
  <si>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</si>
  <si>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</si>
  <si>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</si>
  <si>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</si>
  <si>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</si>
  <si>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</si>
  <si>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</si>
  <si>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</si>
  <si>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</si>
  <si>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</si>
  <si>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</si>
  <si>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</si>
  <si>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</si>
  <si>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</si>
  <si>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</si>
  <si>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</si>
  <si>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</si>
  <si>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</si>
  <si>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</si>
  <si>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</si>
  <si>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</si>
  <si>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</si>
  <si>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</si>
  <si>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</si>
  <si>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</si>
  <si>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</si>
  <si>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</si>
  <si>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</si>
  <si>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</si>
  <si>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</si>
  <si>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</si>
  <si>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</si>
  <si>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</si>
  <si>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</si>
  <si>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</si>
  <si>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</si>
  <si>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</si>
  <si>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</si>
  <si>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</si>
  <si>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</si>
  <si>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</si>
  <si>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</si>
  <si>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</si>
  <si>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</si>
  <si>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</si>
  <si>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</si>
  <si>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</si>
  <si>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</si>
  <si>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</si>
  <si>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</si>
  <si>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</si>
  <si>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</si>
  <si>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</si>
  <si>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</si>
  <si>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</si>
  <si>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</si>
  <si>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</si>
  <si>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</si>
  <si>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</si>
  <si>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</si>
  <si>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</si>
  <si>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</si>
  <si>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</si>
  <si>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</si>
  <si>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</si>
  <si>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</si>
  <si>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</si>
  <si>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</si>
  <si>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</si>
  <si>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</si>
  <si>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</si>
  <si>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</si>
  <si>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</si>
  <si>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</si>
  <si>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</si>
  <si>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</si>
  <si>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</si>
  <si>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</si>
  <si>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</si>
  <si>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</si>
  <si>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</si>
  <si>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</si>
  <si>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</si>
  <si>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</si>
  <si>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</si>
  <si>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</si>
  <si>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</si>
  <si>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</si>
  <si>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</si>
  <si>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</si>
  <si>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</si>
  <si>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</si>
  <si>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</si>
  <si>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</si>
  <si>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</si>
  <si>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</si>
  <si>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</si>
  <si>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</si>
  <si>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</si>
  <si>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</si>
  <si>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</si>
  <si>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</si>
  <si>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</si>
  <si>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</si>
  <si>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</si>
  <si>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</si>
  <si>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</si>
  <si>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</si>
  <si>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</si>
  <si>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</si>
  <si>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</si>
  <si>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</si>
  <si>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</si>
  <si>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</si>
  <si>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</si>
  <si>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</si>
  <si>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</si>
  <si>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</si>
  <si>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</si>
  <si>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</si>
  <si>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</si>
  <si>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</si>
  <si>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</si>
  <si>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</si>
  <si>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</si>
  <si>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</si>
  <si>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</si>
  <si>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</si>
  <si>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</si>
  <si>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</si>
  <si>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</si>
  <si>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</si>
  <si>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</si>
  <si>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</si>
  <si>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</si>
  <si>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</si>
  <si>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</si>
  <si>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</si>
  <si>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</si>
  <si>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</si>
  <si>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</si>
  <si>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</si>
  <si>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</si>
  <si>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</si>
  <si>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</si>
  <si>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</si>
  <si>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</si>
  <si>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</si>
  <si>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</si>
  <si>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</si>
  <si>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</si>
  <si>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</si>
  <si>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</si>
  <si>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</si>
  <si>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</si>
  <si>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</si>
  <si>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</si>
  <si>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</si>
  <si>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</si>
  <si>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</si>
  <si>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</si>
  <si>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</si>
  <si>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</si>
  <si>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</si>
  <si>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</si>
  <si>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</si>
  <si>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</si>
  <si>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</si>
  <si>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</si>
  <si>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</si>
  <si>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</si>
  <si>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</si>
  <si>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</si>
  <si>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</si>
  <si>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</si>
  <si>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</si>
  <si>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</si>
  <si>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</si>
  <si>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</si>
  <si>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</si>
  <si>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</si>
  <si>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</si>
  <si>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</si>
  <si>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</si>
  <si>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</si>
  <si>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</si>
  <si>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</si>
  <si>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</si>
  <si>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</si>
  <si>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</si>
  <si>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</si>
  <si>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</si>
  <si>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</si>
  <si>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</si>
  <si>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</si>
  <si>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</si>
  <si>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</si>
  <si>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</si>
  <si>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</si>
  <si>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</si>
  <si>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</si>
  <si>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</si>
  <si>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</si>
  <si>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</si>
  <si>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</si>
  <si>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</si>
  <si>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</si>
  <si>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</si>
  <si>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</si>
  <si>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</si>
  <si>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</si>
  <si>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</si>
  <si>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</si>
  <si>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</si>
  <si>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</si>
  <si>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</si>
  <si>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</si>
  <si>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</si>
  <si>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</si>
  <si>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</si>
  <si>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</si>
  <si>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</si>
  <si>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</si>
  <si>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</si>
  <si>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</si>
  <si>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</si>
  <si>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</si>
  <si>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</si>
  <si>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</si>
  <si>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</si>
  <si>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</si>
  <si>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</si>
  <si>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</si>
  <si>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</si>
  <si>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</si>
  <si>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</si>
  <si>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</si>
  <si>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</si>
  <si>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</si>
  <si>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</si>
  <si>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</si>
  <si>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</si>
  <si>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</si>
  <si>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</si>
  <si>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</si>
  <si>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</si>
  <si>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</si>
  <si>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</si>
  <si>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</si>
  <si>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</si>
  <si>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</si>
  <si>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</si>
  <si>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</si>
  <si>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</si>
  <si>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</si>
  <si>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</si>
  <si>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</si>
  <si>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</si>
  <si>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</si>
  <si>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</si>
  <si>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</si>
  <si>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</si>
  <si>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</si>
  <si>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</si>
  <si>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</si>
  <si>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</si>
  <si>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</si>
  <si>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</si>
  <si>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</si>
  <si>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</si>
  <si>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</si>
  <si>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</si>
  <si>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</si>
  <si>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</si>
  <si>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</si>
  <si>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</si>
  <si>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</si>
  <si>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</si>
  <si>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</si>
  <si>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</si>
  <si>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</si>
  <si>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</si>
  <si>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</si>
  <si>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</si>
  <si>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</si>
  <si>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</si>
  <si>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</si>
  <si>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</si>
  <si>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</si>
  <si>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</si>
  <si>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</si>
  <si>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</si>
  <si>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</si>
  <si>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</si>
  <si>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</si>
  <si>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</si>
  <si>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</si>
  <si>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</si>
  <si>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</si>
  <si>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</si>
  <si>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</si>
  <si>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</si>
  <si>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</si>
  <si>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</si>
  <si>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</si>
  <si>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</si>
  <si>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</si>
  <si>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</si>
  <si>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</si>
  <si>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</si>
  <si>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</si>
  <si>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</si>
  <si>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</si>
  <si>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</si>
  <si>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</si>
  <si>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</si>
  <si>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</si>
  <si>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</si>
  <si>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</si>
  <si>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</si>
  <si>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</si>
  <si>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</si>
  <si>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</si>
  <si>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</si>
  <si>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</si>
  <si>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</si>
  <si>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</si>
  <si>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</si>
  <si>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</si>
  <si>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</si>
  <si>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</si>
  <si>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</si>
  <si>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</si>
  <si>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</si>
  <si>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</si>
  <si>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</si>
  <si>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</si>
  <si>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</si>
  <si>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</si>
  <si>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</si>
  <si>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</si>
  <si>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</si>
  <si>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</si>
  <si>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</si>
  <si>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</si>
  <si>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</si>
  <si>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</si>
  <si>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</si>
  <si>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</si>
  <si>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</si>
  <si>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</si>
  <si>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</si>
  <si>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</si>
  <si>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</si>
  <si>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</si>
  <si>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</si>
  <si>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</si>
  <si>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</si>
  <si>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</si>
  <si>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</si>
  <si>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</si>
  <si>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</si>
  <si>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</si>
  <si>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</si>
  <si>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</si>
  <si>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</si>
  <si>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</si>
  <si>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</si>
  <si>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</si>
  <si>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</si>
  <si>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</si>
  <si>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</si>
  <si>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</si>
  <si>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</si>
  <si>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</si>
  <si>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</si>
  <si>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</si>
  <si>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</si>
  <si>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</si>
  <si>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</si>
  <si>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</si>
  <si>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</si>
  <si>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</si>
  <si>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</si>
  <si>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</si>
  <si>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</si>
  <si>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</si>
  <si>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</si>
  <si>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</si>
  <si>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</si>
  <si>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</si>
  <si>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</si>
  <si>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</si>
  <si>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</si>
  <si>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</si>
  <si>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</si>
  <si>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</si>
  <si>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</si>
  <si>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</si>
  <si>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</si>
  <si>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</si>
  <si>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</si>
  <si>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</si>
  <si>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</si>
  <si>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</si>
  <si>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</si>
  <si>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</si>
  <si>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</si>
  <si>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</si>
  <si>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</si>
  <si>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</si>
  <si>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</si>
  <si>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</si>
  <si>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</si>
  <si>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</si>
  <si>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</si>
  <si>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</si>
  <si>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</si>
  <si>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</si>
  <si>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</si>
  <si>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</si>
  <si>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</si>
  <si>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</si>
  <si>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</si>
  <si>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</si>
  <si>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</si>
  <si>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</si>
  <si>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</si>
  <si>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</si>
  <si>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</si>
  <si>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</si>
  <si>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</si>
  <si>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</si>
  <si>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</si>
  <si>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</si>
  <si>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</si>
  <si>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</si>
  <si>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</si>
  <si>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</si>
  <si>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</si>
  <si>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</si>
  <si>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</si>
  <si>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</si>
  <si>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</si>
  <si>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</si>
  <si>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</si>
  <si>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</si>
  <si>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</si>
  <si>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</si>
  <si>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</si>
  <si>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</si>
  <si>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</si>
  <si>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</si>
  <si>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</si>
  <si>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</si>
  <si>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</si>
  <si>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</si>
  <si>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</si>
  <si>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</si>
  <si>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</si>
  <si>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</si>
  <si>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</si>
  <si>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</si>
  <si>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</si>
  <si>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</si>
  <si>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</si>
  <si>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</si>
  <si>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</si>
  <si>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</si>
  <si>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</si>
  <si>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</si>
  <si>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</si>
  <si>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</si>
  <si>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</si>
  <si>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</si>
  <si>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</si>
  <si>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</si>
  <si>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</si>
  <si>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</si>
  <si>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</si>
  <si>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</si>
  <si>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</si>
  <si>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</si>
  <si>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</si>
  <si>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</si>
  <si>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</si>
  <si>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</si>
  <si>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</si>
  <si>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</si>
  <si>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</si>
  <si>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</si>
  <si>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</si>
  <si>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</si>
  <si>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</si>
  <si>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</si>
  <si>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</si>
  <si>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</si>
  <si>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</si>
  <si>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</si>
  <si>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</si>
  <si>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</si>
  <si>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</si>
  <si>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</si>
  <si>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</si>
  <si>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</si>
  <si>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</si>
  <si>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</si>
  <si>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</si>
  <si>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</si>
  <si>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</si>
  <si>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</si>
  <si>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</si>
  <si>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</si>
  <si>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</si>
  <si>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</si>
  <si>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</si>
  <si>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</si>
  <si>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</si>
  <si>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</si>
  <si>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</si>
  <si>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</si>
  <si>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</si>
  <si>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</si>
  <si>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</si>
  <si>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</si>
  <si>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</si>
  <si>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</si>
  <si>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</si>
  <si>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</si>
  <si>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</si>
  <si>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</si>
  <si>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</si>
  <si>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</si>
  <si>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</si>
  <si>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</si>
  <si>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</si>
  <si>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</si>
  <si>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</si>
  <si>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</si>
  <si>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</si>
  <si>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</si>
  <si>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</si>
  <si>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</si>
  <si>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</si>
  <si>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</si>
  <si>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</si>
  <si>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</si>
  <si>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</si>
  <si>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</si>
  <si>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</si>
  <si>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</si>
  <si>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</si>
  <si>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</si>
  <si>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</si>
  <si>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</si>
  <si>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</si>
  <si>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</si>
  <si>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</si>
  <si>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</si>
  <si>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</si>
  <si>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</si>
  <si>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</si>
  <si>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</si>
  <si>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</si>
  <si>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</si>
  <si>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</si>
  <si>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</si>
  <si>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</si>
  <si>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</si>
  <si>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</si>
  <si>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</si>
  <si>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</si>
  <si>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</si>
  <si>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</si>
  <si>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</si>
  <si>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</si>
  <si>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</si>
  <si>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</si>
  <si>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</si>
  <si>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</si>
  <si>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</si>
  <si>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</si>
  <si>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</si>
  <si>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</si>
  <si>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</si>
  <si>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</si>
  <si>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</si>
  <si>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</si>
  <si>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</si>
  <si>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</si>
  <si>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</si>
  <si>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</si>
  <si>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</si>
  <si>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</si>
  <si>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</si>
  <si>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</si>
  <si>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</si>
  <si>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</si>
  <si>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</si>
  <si>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</si>
  <si>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</si>
  <si>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</si>
  <si>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</si>
  <si>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</si>
  <si>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</si>
  <si>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</si>
  <si>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</si>
  <si>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</si>
  <si>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</si>
  <si>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</si>
  <si>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</si>
  <si>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</si>
  <si>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</si>
  <si>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</si>
  <si>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</si>
  <si>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</si>
  <si>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</si>
  <si>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</si>
  <si>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</si>
  <si>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</si>
  <si>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</si>
  <si>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</si>
  <si>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</si>
  <si>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</si>
  <si>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</si>
  <si>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</si>
  <si>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</si>
  <si>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</si>
  <si>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</si>
  <si>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</si>
  <si>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</si>
  <si>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</si>
  <si>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</si>
  <si>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</si>
  <si>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</si>
  <si>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</si>
  <si>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</si>
  <si>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</si>
  <si>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</si>
  <si>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</si>
  <si>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</si>
  <si>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</si>
  <si>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</si>
  <si>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</si>
  <si>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</si>
  <si>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</si>
  <si>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</si>
  <si>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</si>
  <si>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</si>
  <si>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</si>
  <si>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</si>
  <si>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</si>
  <si>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</si>
  <si>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</si>
  <si>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</si>
  <si>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</si>
  <si>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</si>
  <si>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</si>
  <si>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</si>
  <si>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</si>
  <si>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</si>
  <si>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</si>
  <si>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</si>
  <si>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</si>
  <si>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</si>
  <si>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</si>
  <si>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</si>
  <si>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</si>
  <si>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</si>
  <si>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</si>
  <si>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</si>
  <si>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</si>
  <si>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</si>
  <si>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</si>
  <si>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</si>
  <si>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</si>
  <si>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</si>
  <si>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</si>
  <si>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</si>
  <si>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</si>
  <si>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</si>
  <si>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</si>
  <si>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</si>
  <si>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</si>
  <si>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</si>
  <si>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</si>
  <si>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</si>
  <si>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</si>
  <si>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</si>
  <si>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</si>
  <si>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</si>
  <si>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</si>
  <si>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</si>
  <si>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</si>
  <si>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</si>
  <si>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</si>
  <si>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</si>
  <si>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</si>
  <si>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</si>
  <si>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</si>
  <si>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</si>
  <si>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</si>
  <si>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</si>
  <si>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</si>
  <si>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</si>
  <si>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</si>
  <si>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</si>
  <si>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</si>
  <si>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</si>
  <si>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</si>
  <si>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</si>
  <si>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</si>
  <si>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</si>
  <si>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</si>
  <si>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</si>
  <si>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</si>
  <si>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</si>
  <si>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</si>
  <si>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</si>
  <si>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</si>
  <si>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</si>
  <si>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</si>
  <si>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</si>
  <si>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</si>
  <si>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</si>
  <si>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</si>
  <si>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</si>
  <si>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</si>
  <si>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</si>
  <si>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</si>
  <si>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</si>
  <si>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</si>
  <si>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</si>
  <si>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</si>
  <si>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</si>
  <si>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</si>
  <si>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</si>
  <si>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</si>
  <si>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</si>
  <si>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</si>
  <si>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</si>
  <si>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</si>
  <si>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</si>
  <si>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</si>
  <si>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</si>
  <si>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</si>
  <si>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</si>
  <si>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</si>
  <si>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</si>
  <si>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</si>
  <si>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</si>
  <si>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</si>
  <si>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</si>
  <si>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</si>
  <si>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</si>
  <si>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</si>
  <si>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</si>
  <si>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</si>
  <si>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</si>
  <si>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</si>
  <si>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</si>
  <si>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</si>
  <si>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</si>
  <si>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</si>
  <si>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</si>
  <si>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</si>
  <si>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</si>
  <si>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</si>
  <si>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</si>
  <si>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</si>
  <si>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</si>
  <si>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</si>
  <si>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</si>
  <si>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</si>
  <si>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</si>
  <si>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</si>
  <si>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</si>
  <si>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</si>
  <si>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</si>
  <si>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</si>
  <si>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</si>
  <si>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</si>
  <si>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</si>
  <si>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</si>
  <si>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</si>
  <si>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</si>
  <si>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</si>
  <si>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</si>
  <si>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</si>
  <si>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</si>
  <si>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</si>
  <si>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</si>
  <si>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</si>
  <si>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</si>
  <si>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</si>
  <si>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</si>
  <si>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</si>
  <si>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</si>
  <si>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</si>
  <si>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</si>
  <si>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</si>
  <si>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</si>
  <si>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</si>
  <si>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</si>
  <si>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</si>
  <si>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</si>
  <si>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</si>
  <si>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</si>
  <si>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</si>
  <si>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</si>
  <si>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</si>
  <si>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</si>
  <si>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</si>
  <si>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</si>
  <si>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</si>
  <si>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</si>
  <si>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</si>
  <si>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</si>
  <si>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</si>
  <si>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</si>
  <si>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</si>
  <si>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</si>
  <si>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</si>
  <si>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</si>
  <si>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</si>
  <si>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</si>
  <si>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</si>
  <si>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</si>
  <si>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</si>
  <si>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</si>
  <si>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</si>
  <si>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</si>
  <si>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</si>
  <si>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</si>
  <si>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</si>
  <si>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</si>
  <si>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</si>
  <si>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</si>
  <si>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</si>
  <si>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</si>
  <si>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</si>
  <si>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</si>
  <si>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</si>
  <si>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</si>
  <si>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</si>
  <si>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</si>
  <si>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</si>
  <si>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</si>
  <si>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</si>
  <si>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</si>
  <si>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</si>
  <si>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</si>
  <si>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</si>
  <si>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</si>
  <si>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</si>
  <si>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</si>
  <si>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</si>
  <si>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</si>
  <si>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</si>
  <si>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</si>
  <si>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</si>
  <si>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</si>
  <si>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</si>
  <si>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</si>
  <si>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</si>
  <si>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</si>
  <si>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</si>
  <si>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</si>
  <si>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</si>
  <si>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</si>
  <si>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</si>
  <si>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</si>
  <si>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</si>
  <si>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</si>
  <si>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</si>
  <si>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</si>
  <si>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</si>
  <si>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</si>
  <si>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</si>
  <si>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</si>
  <si>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</si>
  <si>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</si>
  <si>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</si>
  <si>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</si>
  <si>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</si>
  <si>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</si>
  <si>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</si>
  <si>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</si>
  <si>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</si>
  <si>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</si>
  <si>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</si>
  <si>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</si>
  <si>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</si>
  <si>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</si>
  <si>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</si>
  <si>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</si>
  <si>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</si>
  <si>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</si>
  <si>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</si>
  <si>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</si>
  <si>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</si>
  <si>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</si>
  <si>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</si>
  <si>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</si>
  <si>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</si>
  <si>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</si>
  <si>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</si>
  <si>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</si>
  <si>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</si>
  <si>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</si>
  <si>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</si>
  <si>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</si>
  <si>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</si>
  <si>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</si>
  <si>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</si>
  <si>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</si>
  <si>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</si>
  <si>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</si>
  <si>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</si>
  <si>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</si>
  <si>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</si>
  <si>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</si>
  <si>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</si>
  <si>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</si>
  <si>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</si>
  <si>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</si>
  <si>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</si>
  <si>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</si>
  <si>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</si>
  <si>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</si>
  <si>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</si>
  <si>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</si>
  <si>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</si>
  <si>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</si>
  <si>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</si>
  <si>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</si>
  <si>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</si>
  <si>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</si>
  <si>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</si>
  <si>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</si>
  <si>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</si>
  <si>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</si>
  <si>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</si>
  <si>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</si>
  <si>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</si>
  <si>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</si>
  <si>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</si>
  <si>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</si>
  <si>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</si>
  <si>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</si>
  <si>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</si>
  <si>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</si>
  <si>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</si>
  <si>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</si>
  <si>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</si>
  <si>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</si>
  <si>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</si>
  <si>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</si>
  <si>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</si>
  <si>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</si>
  <si>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</si>
  <si>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</si>
  <si>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</si>
  <si>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</si>
  <si>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</si>
  <si>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</si>
  <si>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</si>
  <si>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</si>
  <si>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</si>
  <si>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</si>
  <si>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</si>
  <si>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</si>
  <si>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</si>
  <si>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</si>
  <si>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</si>
  <si>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</si>
  <si>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</si>
  <si>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</si>
  <si>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</si>
  <si>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</si>
  <si>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</si>
  <si>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</si>
  <si>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</si>
  <si>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</si>
  <si>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</si>
  <si>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</si>
  <si>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</si>
  <si>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</si>
  <si>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</si>
  <si>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</si>
  <si>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</si>
  <si>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</si>
  <si>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</si>
  <si>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</si>
  <si>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</si>
  <si>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</si>
  <si>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</si>
  <si>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</si>
  <si>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</si>
  <si>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</si>
  <si>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</si>
  <si>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</si>
  <si>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</si>
  <si>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</si>
  <si>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</si>
  <si>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</si>
  <si>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</si>
  <si>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</si>
  <si>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</si>
  <si>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</si>
  <si>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</si>
  <si>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</si>
  <si>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</si>
  <si>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</si>
  <si>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</si>
  <si>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</si>
  <si>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</si>
  <si>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</si>
  <si>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</si>
  <si>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</si>
  <si>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</si>
  <si>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</si>
  <si>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</si>
  <si>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</si>
  <si>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</si>
  <si>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</si>
  <si>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</si>
  <si>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</si>
  <si>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</si>
  <si>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</si>
  <si>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</si>
  <si>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</si>
  <si>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</si>
  <si>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</si>
  <si>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</si>
  <si>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</si>
  <si>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</si>
  <si>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</si>
  <si>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</si>
  <si>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</si>
  <si>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</si>
  <si>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</si>
  <si>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</si>
  <si>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</si>
  <si>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</si>
  <si>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</si>
  <si>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</si>
  <si>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</si>
  <si>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</si>
  <si>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</si>
  <si>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</si>
  <si>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</si>
  <si>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</si>
  <si>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</si>
  <si>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</si>
  <si>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</si>
  <si>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</si>
  <si>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</si>
  <si>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</si>
  <si>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</si>
  <si>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</si>
  <si>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</si>
  <si>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</si>
  <si>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</si>
  <si>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</si>
  <si>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</si>
  <si>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</si>
  <si>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</si>
  <si>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</si>
  <si>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</si>
  <si>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</si>
  <si>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</si>
  <si>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</si>
  <si>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</si>
  <si>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</si>
  <si>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</si>
  <si>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</si>
  <si>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</si>
  <si>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</si>
  <si>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</si>
  <si>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</si>
  <si>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</si>
  <si>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</si>
  <si>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</si>
  <si>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</si>
  <si>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</si>
  <si>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</si>
  <si>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</si>
  <si>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</si>
  <si>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</si>
  <si>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</si>
  <si>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</si>
  <si>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</si>
  <si>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</si>
  <si>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</si>
  <si>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</si>
  <si>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</si>
  <si>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</si>
  <si>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</si>
  <si>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</si>
  <si>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</si>
  <si>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</si>
  <si>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</si>
  <si>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</si>
  <si>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</si>
  <si>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</si>
  <si>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</si>
  <si>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</si>
  <si>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</si>
  <si>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</si>
  <si>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</si>
  <si>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</si>
  <si>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</si>
  <si>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</si>
  <si>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</si>
  <si>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</si>
  <si>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</si>
  <si>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</si>
  <si>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</si>
  <si>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</si>
  <si>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</si>
  <si>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</si>
  <si>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</si>
  <si>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</si>
  <si>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</si>
  <si>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</si>
  <si>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</si>
  <si>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</si>
  <si>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</si>
  <si>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</si>
  <si>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</si>
  <si>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</si>
  <si>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</si>
  <si>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</si>
  <si>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</si>
  <si>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</si>
  <si>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</si>
  <si>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</si>
  <si>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</si>
  <si>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</si>
  <si>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</si>
  <si>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</si>
  <si>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</si>
  <si>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</si>
  <si>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</si>
  <si>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</si>
  <si>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</si>
  <si>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</si>
  <si>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</si>
  <si>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</si>
  <si>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</si>
  <si>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</si>
  <si>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</si>
  <si>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</si>
  <si>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</si>
  <si>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</si>
  <si>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</si>
  <si>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</si>
  <si>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</si>
  <si>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</si>
  <si>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</si>
  <si>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</si>
  <si>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</si>
  <si>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</si>
  <si>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</si>
  <si>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</si>
  <si>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</si>
  <si>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</si>
  <si>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</si>
  <si>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</si>
  <si>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</si>
  <si>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</si>
  <si>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</si>
  <si>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</si>
  <si>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</si>
  <si>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</si>
  <si>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</si>
  <si>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</si>
  <si>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</si>
  <si>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</si>
  <si>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</si>
  <si>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</si>
  <si>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</si>
  <si>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</si>
  <si>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</si>
  <si>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</si>
  <si>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</si>
  <si>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</si>
  <si>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</si>
  <si>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</si>
  <si>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</si>
  <si>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</si>
  <si>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</si>
  <si>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</si>
  <si>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</si>
  <si>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</si>
  <si>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</si>
  <si>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</si>
  <si>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</si>
  <si>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</si>
  <si>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</si>
  <si>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</si>
  <si>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</si>
  <si>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</si>
  <si>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</si>
  <si>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</si>
  <si>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</si>
  <si>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</si>
  <si>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</si>
  <si>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</si>
  <si>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</si>
  <si>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</si>
  <si>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</si>
  <si>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</si>
  <si>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</si>
  <si>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</si>
  <si>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</si>
  <si>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</si>
  <si>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</si>
  <si>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</si>
  <si>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</si>
  <si>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</si>
  <si>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</si>
  <si>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</si>
  <si>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</si>
  <si>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</si>
  <si>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</si>
  <si>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</si>
  <si>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</si>
  <si>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</si>
  <si>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</si>
  <si>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</si>
  <si>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</si>
  <si>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</si>
  <si>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</si>
  <si>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</si>
  <si>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</si>
  <si>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</si>
  <si>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</si>
  <si>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</si>
  <si>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</si>
  <si>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</si>
  <si>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</si>
  <si>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</si>
  <si>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</si>
  <si>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</si>
  <si>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</si>
  <si>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</si>
  <si>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</si>
  <si>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</si>
  <si>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</si>
  <si>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</si>
  <si>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</si>
  <si>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</si>
  <si>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</si>
  <si>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</si>
  <si>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</si>
  <si>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</si>
  <si>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</si>
  <si>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</si>
  <si>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</si>
  <si>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</si>
  <si>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</si>
  <si>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</si>
  <si>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</si>
  <si>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</si>
  <si>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</si>
  <si>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</si>
  <si>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</si>
  <si>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</si>
  <si>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</si>
  <si>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</si>
  <si>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</si>
  <si>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</si>
  <si>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</si>
  <si>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</si>
  <si>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</si>
  <si>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</si>
  <si>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</si>
  <si>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</si>
  <si>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</si>
  <si>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</si>
  <si>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</si>
  <si>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</si>
  <si>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</si>
  <si>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</si>
  <si>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</si>
  <si>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</si>
  <si>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</si>
  <si>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</si>
  <si>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</si>
  <si>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</si>
  <si>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</si>
  <si>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</si>
  <si>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</si>
  <si>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</si>
  <si>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</si>
  <si>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</si>
  <si>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</si>
  <si>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</si>
  <si>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</si>
  <si>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</si>
  <si>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</si>
  <si>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</si>
  <si>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</si>
  <si>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</si>
  <si>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</si>
  <si>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</si>
  <si>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</si>
  <si>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</si>
  <si>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</si>
  <si>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</si>
  <si>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</si>
  <si>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</si>
  <si>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</si>
  <si>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</si>
  <si>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</si>
  <si>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</si>
  <si>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</si>
  <si>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</si>
  <si>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</si>
  <si>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</si>
  <si>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</si>
  <si>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</si>
  <si>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</si>
  <si>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</si>
  <si>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</si>
  <si>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</si>
  <si>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</si>
  <si>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</si>
  <si>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</si>
  <si>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</si>
  <si>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</si>
  <si>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</si>
  <si>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</si>
  <si>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</si>
  <si>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</si>
  <si>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</si>
  <si>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</si>
  <si>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</si>
  <si>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</si>
  <si>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</si>
  <si>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</si>
  <si>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</si>
  <si>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</si>
  <si>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</si>
  <si>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</si>
  <si>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</si>
  <si>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</si>
  <si>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</si>
  <si>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</si>
  <si>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</si>
  <si>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</si>
  <si>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</si>
  <si>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</si>
  <si>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</si>
  <si>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</si>
  <si>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</si>
  <si>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</si>
  <si>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</si>
  <si>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</si>
  <si>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</si>
  <si>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</si>
  <si>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</si>
  <si>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</si>
  <si>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</si>
  <si>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</si>
  <si>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</si>
  <si>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</si>
  <si>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</si>
  <si>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</si>
  <si>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</si>
  <si>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</si>
  <si>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</si>
  <si>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</si>
  <si>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</si>
  <si>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</si>
  <si>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</si>
  <si>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</si>
  <si>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</si>
  <si>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</si>
  <si>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</si>
  <si>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</si>
  <si>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</si>
  <si>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</si>
  <si>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</si>
  <si>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</si>
  <si>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</si>
  <si>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</si>
  <si>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</si>
  <si>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</si>
  <si>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</si>
  <si>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</si>
  <si>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</si>
  <si>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</si>
  <si>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</si>
  <si>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</si>
  <si>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</si>
  <si>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</si>
  <si>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</si>
  <si>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</si>
  <si>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</si>
  <si>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</si>
  <si>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</si>
  <si>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</si>
  <si>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</si>
  <si>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</si>
  <si>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</si>
  <si>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</si>
  <si>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</si>
  <si>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</si>
  <si>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</si>
  <si>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</si>
  <si>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</si>
  <si>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</si>
  <si>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</si>
  <si>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</si>
  <si>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</si>
  <si>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</si>
  <si>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</si>
  <si>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</si>
  <si>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</si>
  <si>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</si>
  <si>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</si>
  <si>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</si>
  <si>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</si>
  <si>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</si>
  <si>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</si>
  <si>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</si>
  <si>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</si>
  <si>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</si>
  <si>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</si>
  <si>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</si>
  <si>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</si>
  <si>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</si>
  <si>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</si>
  <si>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</si>
  <si>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</si>
  <si>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</si>
  <si>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</si>
  <si>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</si>
  <si>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</si>
  <si>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</si>
  <si>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</si>
  <si>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</si>
  <si>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</si>
  <si>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</si>
  <si>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</si>
  <si>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</si>
  <si>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</si>
  <si>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</si>
  <si>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</si>
  <si>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</si>
  <si>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</si>
  <si>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</si>
  <si>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</si>
  <si>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</si>
  <si>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</si>
  <si>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</si>
  <si>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</si>
  <si>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</si>
  <si>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</si>
  <si>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</si>
  <si>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</si>
  <si>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</si>
  <si>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</si>
  <si>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</si>
  <si>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</si>
  <si>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</si>
  <si>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</si>
  <si>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</si>
  <si>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</si>
  <si>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</si>
  <si>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</si>
  <si>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</si>
  <si>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</si>
  <si>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</si>
  <si>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</si>
  <si>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</si>
  <si>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</si>
  <si>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</si>
  <si>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</si>
  <si>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</si>
  <si>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</si>
  <si>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</si>
  <si>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</si>
  <si>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</si>
  <si>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</si>
  <si>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</si>
  <si>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</si>
  <si>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</si>
  <si>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</si>
  <si>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</si>
  <si>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</si>
  <si>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</si>
  <si>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</si>
  <si>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</si>
  <si>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</si>
  <si>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</si>
  <si>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</si>
  <si>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</si>
  <si>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</si>
  <si>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</si>
  <si>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</si>
  <si>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</si>
  <si>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</si>
  <si>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</si>
  <si>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</si>
  <si>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</si>
  <si>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</si>
  <si>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</si>
  <si>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</si>
  <si>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</si>
  <si>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</si>
  <si>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</si>
  <si>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</si>
  <si>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</si>
  <si>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</si>
  <si>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</si>
  <si>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</si>
  <si>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</si>
  <si>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</si>
  <si>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</si>
  <si>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</si>
  <si>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</si>
  <si>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</si>
  <si>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</si>
  <si>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</si>
  <si>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</si>
  <si>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</si>
  <si>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</si>
  <si>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</si>
  <si>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</si>
  <si>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</si>
  <si>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</si>
  <si>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</si>
  <si>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</si>
  <si>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</si>
  <si>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</si>
  <si>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</si>
  <si>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</si>
  <si>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</si>
  <si>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</si>
  <si>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</si>
  <si>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</si>
  <si>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</si>
  <si>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</si>
  <si>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</si>
  <si>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</si>
  <si>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</si>
  <si>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</si>
  <si>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</si>
  <si>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</si>
  <si>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</si>
  <si>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</si>
  <si>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</si>
  <si>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</si>
  <si>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</si>
  <si>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</si>
  <si>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</si>
  <si>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</si>
  <si>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</si>
  <si>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</si>
  <si>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</si>
  <si>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</si>
  <si>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</si>
  <si>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</si>
  <si>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</si>
  <si>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</si>
  <si>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</si>
  <si>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</si>
  <si>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</si>
  <si>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</si>
  <si>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</si>
  <si>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</si>
  <si>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</si>
  <si>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</si>
  <si>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</si>
  <si>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</si>
  <si>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</si>
  <si>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</si>
  <si>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</si>
  <si>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</si>
  <si>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</si>
  <si>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</si>
  <si>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</si>
  <si>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</si>
  <si>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</si>
  <si>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</si>
  <si>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</si>
  <si>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</si>
  <si>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</si>
  <si>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</si>
  <si>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</si>
  <si>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</si>
  <si>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</si>
  <si>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</si>
  <si>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</si>
  <si>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</si>
  <si>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</si>
  <si>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</si>
  <si>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</si>
  <si>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</si>
  <si>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</si>
  <si>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</si>
  <si>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</si>
  <si>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</si>
  <si>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</si>
  <si>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</si>
  <si>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</si>
  <si>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</si>
  <si>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</si>
  <si>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</si>
  <si>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</si>
  <si>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</si>
  <si>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</si>
  <si>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</si>
  <si>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</si>
  <si>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</si>
  <si>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</si>
  <si>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</si>
  <si>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</si>
  <si>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</si>
  <si>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</si>
  <si>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</si>
  <si>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</si>
  <si>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</si>
  <si>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</si>
  <si>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</si>
  <si>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</si>
  <si>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</si>
  <si>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</si>
  <si>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</si>
  <si>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</si>
  <si>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</si>
  <si>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</si>
  <si>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</si>
  <si>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</si>
  <si>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</si>
  <si>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</si>
  <si>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</si>
  <si>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</si>
  <si>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</si>
  <si>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</si>
  <si>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</si>
  <si>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</si>
  <si>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</si>
  <si>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</si>
  <si>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</si>
  <si>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</si>
  <si>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</si>
  <si>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</si>
  <si>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</si>
  <si>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</si>
  <si>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</si>
  <si>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</si>
  <si>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</si>
  <si>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</si>
  <si>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</si>
  <si>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</si>
  <si>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</si>
  <si>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</si>
  <si>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</si>
  <si>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</si>
  <si>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</si>
  <si>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</si>
  <si>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</si>
  <si>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</si>
  <si>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</si>
  <si>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</si>
  <si>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</si>
  <si>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</si>
  <si>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</si>
  <si>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</si>
  <si>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</si>
  <si>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</si>
  <si>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</si>
  <si>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</si>
  <si>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</si>
  <si>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</si>
  <si>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</si>
  <si>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</si>
  <si>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</si>
  <si>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</si>
  <si>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</si>
  <si>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</si>
  <si>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</si>
  <si>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</si>
  <si>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</si>
  <si>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</si>
  <si>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</si>
  <si>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</si>
  <si>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</si>
  <si>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</si>
  <si>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</si>
  <si>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</si>
  <si>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</si>
  <si>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</si>
  <si>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</si>
  <si>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</si>
  <si>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</si>
  <si>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</si>
  <si>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</si>
  <si>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</si>
  <si>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</si>
  <si>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</si>
  <si>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</si>
  <si>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</si>
  <si>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</si>
  <si>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</si>
  <si>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</si>
  <si>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</si>
  <si>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</si>
  <si>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</si>
  <si>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</si>
  <si>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</si>
  <si>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</si>
  <si>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</si>
  <si>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</si>
  <si>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</si>
  <si>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</si>
  <si>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</si>
  <si>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</si>
  <si>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</si>
  <si>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</si>
  <si>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</si>
  <si>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</si>
  <si>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</si>
  <si>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</si>
  <si>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</si>
  <si>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</si>
  <si>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</si>
  <si>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</si>
  <si>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</si>
  <si>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</si>
  <si>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</si>
  <si>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</si>
  <si>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</si>
  <si>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</si>
  <si>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</si>
  <si>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</si>
  <si>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</si>
  <si>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</si>
  <si>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</si>
  <si>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</si>
  <si>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</si>
  <si>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</si>
  <si>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</si>
  <si>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</si>
  <si>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</si>
  <si>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</si>
  <si>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</si>
  <si>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</si>
  <si>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</si>
  <si>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</si>
  <si>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</si>
  <si>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</si>
  <si>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</si>
  <si>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</si>
  <si>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</si>
  <si>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</si>
  <si>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</si>
  <si>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</si>
  <si>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</si>
  <si>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</si>
  <si>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</si>
  <si>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</si>
  <si>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</si>
  <si>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</si>
  <si>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</si>
  <si>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</si>
  <si>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</si>
  <si>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</si>
  <si>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</si>
  <si>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</si>
  <si>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</si>
  <si>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</si>
  <si>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</si>
  <si>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</si>
  <si>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</si>
  <si>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</si>
  <si>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</si>
  <si>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</si>
  <si>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</si>
  <si>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</si>
  <si>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</si>
  <si>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</si>
  <si>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</si>
  <si>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</si>
  <si>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</si>
  <si>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</si>
  <si>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</si>
  <si>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</si>
  <si>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</si>
  <si>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</si>
  <si>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</si>
  <si>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</si>
  <si>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</si>
  <si>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</si>
  <si>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</si>
  <si>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</si>
  <si>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</si>
  <si>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</si>
  <si>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</si>
  <si>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</si>
  <si>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</si>
  <si>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</si>
  <si>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</si>
  <si>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</si>
  <si>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</si>
  <si>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</si>
  <si>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</si>
  <si>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</si>
  <si>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</si>
  <si>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</si>
  <si>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</si>
  <si>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</si>
  <si>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</si>
  <si>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</si>
  <si>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</si>
  <si>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</si>
  <si>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</si>
  <si>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</si>
  <si>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</si>
  <si>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</si>
  <si>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</si>
  <si>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</si>
  <si>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</si>
  <si>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</si>
  <si>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</si>
  <si>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</si>
  <si>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</si>
  <si>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</si>
  <si>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</si>
  <si>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</si>
  <si>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</si>
  <si>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</si>
  <si>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</si>
  <si>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</si>
  <si>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</si>
  <si>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</si>
  <si>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</si>
  <si>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</si>
  <si>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</si>
  <si>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</si>
  <si>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</si>
  <si>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</si>
  <si>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</si>
  <si>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</si>
  <si>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</si>
  <si>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</si>
  <si>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</si>
  <si>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</si>
  <si>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</si>
  <si>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</si>
  <si>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</si>
  <si>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</si>
  <si>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</si>
  <si>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</si>
  <si>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</si>
  <si>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</si>
  <si>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</si>
  <si>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</si>
  <si>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</si>
  <si>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</si>
  <si>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</si>
  <si>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</si>
  <si>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</si>
  <si>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</si>
  <si>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</si>
  <si>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</si>
  <si>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</si>
  <si>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</si>
  <si>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</si>
  <si>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</si>
  <si>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</si>
  <si>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</si>
  <si>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</si>
  <si>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</si>
  <si>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</si>
  <si>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</si>
  <si>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</si>
  <si>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</si>
  <si>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</si>
  <si>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</si>
  <si>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</si>
  <si>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</si>
  <si>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</si>
  <si>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</si>
  <si>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</si>
  <si>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</si>
  <si>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</si>
  <si>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</si>
  <si>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</si>
  <si>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</si>
  <si>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</si>
  <si>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</si>
  <si>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</si>
  <si>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</si>
  <si>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</si>
  <si>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</si>
  <si>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</si>
  <si>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</si>
  <si>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</si>
  <si>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</si>
  <si>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</si>
  <si>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</si>
  <si>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</si>
  <si>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</si>
  <si>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</si>
  <si>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</si>
  <si>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</si>
  <si>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</si>
  <si>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</si>
  <si>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</si>
  <si>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</si>
  <si>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</si>
  <si>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</si>
  <si>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</si>
  <si>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</si>
  <si>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</si>
  <si>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</si>
  <si>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</si>
  <si>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</si>
  <si>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</si>
  <si>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</si>
  <si>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</si>
  <si>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</si>
  <si>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</si>
  <si>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</si>
  <si>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</si>
  <si>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</si>
  <si>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</si>
  <si>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</si>
  <si>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</si>
  <si>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</si>
  <si>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</si>
  <si>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</si>
  <si>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</si>
  <si>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</si>
  <si>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</si>
  <si>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</si>
  <si>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</si>
  <si>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</si>
  <si>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</si>
  <si>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</si>
  <si>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</si>
  <si>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</si>
  <si>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</si>
  <si>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</si>
  <si>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</si>
  <si>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</si>
  <si>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</si>
  <si>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</si>
  <si>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</si>
  <si>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</si>
  <si>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</si>
  <si>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</si>
  <si>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</si>
  <si>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</si>
  <si>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</si>
  <si>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</si>
  <si>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</si>
  <si>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</si>
  <si>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</si>
  <si>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</si>
  <si>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</si>
  <si>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</si>
  <si>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</si>
  <si>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</si>
  <si>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</si>
  <si>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</si>
  <si>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</si>
  <si>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</si>
  <si>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</si>
  <si>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</si>
  <si>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</si>
  <si>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</si>
  <si>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</si>
  <si>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</si>
  <si>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</si>
  <si>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</si>
  <si>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</si>
  <si>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</si>
  <si>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</si>
  <si>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</si>
  <si>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</si>
  <si>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</si>
  <si>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</si>
  <si>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</si>
  <si>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</si>
  <si>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</si>
  <si>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</si>
  <si>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</si>
  <si>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</si>
  <si>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</si>
  <si>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</si>
  <si>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</si>
  <si>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</si>
  <si>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</si>
  <si>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</si>
  <si>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</si>
  <si>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</si>
  <si>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</si>
  <si>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</si>
  <si>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</si>
  <si>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</si>
  <si>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</si>
  <si>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</si>
  <si>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</si>
  <si>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</si>
  <si>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</si>
  <si>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</si>
  <si>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</si>
  <si>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</si>
  <si>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</si>
  <si>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</si>
  <si>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</si>
  <si>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</si>
  <si>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</si>
  <si>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</si>
  <si>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</si>
  <si>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</si>
  <si>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</si>
  <si>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</si>
  <si>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</si>
  <si>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</si>
  <si>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</si>
  <si>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</si>
  <si>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</si>
  <si>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</si>
  <si>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</si>
  <si>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</si>
  <si>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</si>
  <si>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</si>
  <si>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</si>
  <si>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</si>
  <si>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</si>
  <si>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</si>
  <si>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</si>
  <si>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</si>
  <si>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</si>
  <si>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</si>
  <si>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</si>
  <si>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</si>
  <si>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</si>
  <si>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</si>
  <si>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</si>
  <si>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</si>
  <si>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</si>
  <si>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</si>
  <si>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</si>
  <si>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</si>
  <si>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</si>
  <si>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</si>
  <si>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</si>
  <si>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</si>
  <si>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</si>
  <si>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</si>
  <si>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</si>
  <si>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</si>
  <si>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</si>
  <si>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</si>
  <si>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</si>
  <si>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</si>
  <si>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</si>
  <si>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</si>
  <si>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</si>
  <si>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</si>
  <si>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</si>
  <si>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</si>
  <si>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</si>
  <si>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</si>
  <si>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</si>
  <si>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</si>
  <si>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</si>
  <si>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</si>
  <si>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</si>
  <si>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</si>
  <si>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</si>
  <si>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</si>
  <si>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</si>
  <si>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</si>
  <si>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</si>
  <si>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</si>
  <si>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</si>
  <si>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</si>
  <si>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</si>
  <si>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</si>
  <si>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</si>
  <si>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</si>
  <si>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</si>
  <si>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</si>
  <si>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</si>
  <si>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</si>
  <si>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</si>
  <si>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</si>
  <si>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</si>
  <si>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</si>
  <si>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</si>
  <si>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</si>
  <si>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</si>
  <si>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</si>
  <si>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</si>
  <si>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</si>
  <si>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</si>
  <si>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</si>
  <si>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</si>
  <si>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</si>
  <si>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</si>
  <si>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</si>
  <si>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</si>
  <si>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</si>
  <si>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</si>
  <si>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</si>
  <si>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</si>
  <si>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</si>
  <si>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</si>
  <si>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</si>
  <si>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</si>
  <si>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</si>
  <si>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</si>
  <si>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</si>
  <si>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</si>
  <si>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</si>
  <si>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</si>
  <si>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</si>
  <si>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</si>
  <si>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</si>
  <si>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</si>
  <si>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</si>
  <si>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</si>
  <si>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</si>
  <si>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</si>
  <si>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</si>
  <si>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</si>
  <si>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</si>
  <si>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</si>
  <si>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</si>
  <si>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</si>
  <si>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</si>
  <si>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</si>
  <si>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</si>
  <si>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</si>
  <si>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</si>
  <si>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</si>
  <si>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</si>
  <si>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</si>
  <si>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</si>
  <si>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</si>
  <si>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</si>
  <si>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</si>
  <si>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</si>
  <si>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</si>
  <si>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</si>
  <si>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</si>
  <si>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</si>
  <si>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</si>
  <si>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</si>
  <si>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</si>
  <si>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</si>
  <si>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</si>
  <si>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</si>
  <si>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</si>
  <si>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</si>
  <si>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</si>
  <si>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</si>
  <si>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</si>
  <si>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</si>
  <si>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</si>
  <si>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</si>
  <si>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</si>
  <si>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</si>
  <si>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</si>
  <si>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</si>
  <si>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</si>
  <si>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</si>
  <si>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</si>
  <si>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</si>
  <si>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</si>
  <si>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</si>
  <si>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</si>
  <si>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</si>
  <si>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</si>
  <si>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</si>
  <si>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</si>
  <si>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</si>
  <si>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</si>
  <si>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</si>
  <si>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</si>
  <si>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</si>
  <si>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</si>
  <si>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</si>
  <si>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</si>
  <si>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</si>
  <si>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</si>
  <si>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</si>
  <si>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</si>
  <si>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</si>
  <si>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</si>
  <si>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</si>
  <si>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</si>
  <si>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</si>
  <si>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</si>
  <si>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</si>
  <si>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</si>
  <si>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</si>
  <si>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</si>
  <si>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</si>
  <si>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</si>
  <si>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</si>
  <si>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</si>
  <si>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</si>
  <si>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</si>
  <si>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</si>
  <si>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</si>
  <si>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</si>
  <si>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</si>
  <si>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</si>
  <si>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</si>
  <si>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</si>
  <si>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</si>
  <si>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</si>
  <si>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</si>
  <si>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</si>
  <si>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</si>
  <si>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</si>
  <si>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</si>
  <si>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</si>
  <si>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</si>
  <si>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</si>
  <si>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</si>
  <si>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</si>
  <si>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</si>
  <si>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</si>
  <si>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</si>
  <si>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</si>
  <si>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</si>
  <si>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</si>
  <si>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</si>
  <si>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</si>
  <si>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</si>
  <si>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</si>
  <si>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</si>
  <si>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</si>
  <si>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</si>
  <si>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</si>
  <si>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</si>
  <si>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</si>
  <si>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</si>
  <si>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</si>
  <si>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</si>
  <si>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</si>
  <si>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</si>
  <si>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</si>
  <si>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</si>
  <si>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</si>
  <si>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</si>
  <si>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</si>
  <si>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</si>
  <si>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</si>
  <si>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</si>
  <si>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</si>
  <si>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</si>
  <si>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</si>
  <si>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</si>
  <si>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</si>
  <si>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</si>
  <si>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</si>
  <si>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</si>
  <si>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</si>
  <si>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</si>
  <si>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</si>
  <si>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</si>
  <si>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</si>
  <si>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</si>
  <si>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</si>
  <si>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</si>
  <si>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</si>
  <si>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</si>
  <si>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</si>
  <si>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</si>
  <si>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</si>
  <si>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</si>
  <si>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</si>
  <si>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</si>
  <si>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</si>
  <si>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</si>
  <si>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</si>
  <si>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</si>
  <si>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</si>
  <si>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</si>
  <si>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</si>
  <si>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</si>
  <si>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</si>
  <si>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</si>
  <si>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</si>
  <si>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</si>
  <si>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</si>
  <si>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</si>
  <si>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</si>
  <si>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</si>
  <si>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</si>
  <si>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</si>
  <si>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</si>
  <si>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</si>
  <si>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</si>
  <si>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</si>
  <si>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</si>
  <si>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</si>
  <si>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</si>
  <si>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</si>
  <si>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</si>
  <si>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</si>
  <si>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</si>
  <si>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</si>
  <si>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</si>
  <si>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</si>
  <si>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</si>
  <si>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</si>
  <si>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</si>
  <si>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</si>
  <si>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</si>
  <si>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</si>
  <si>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</si>
  <si>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</si>
  <si>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</si>
  <si>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</si>
  <si>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</si>
  <si>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</si>
  <si>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</si>
  <si>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</si>
  <si>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</si>
  <si>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</si>
  <si>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</si>
  <si>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</si>
  <si>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</si>
  <si>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</si>
  <si>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</si>
  <si>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</si>
  <si>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</si>
  <si>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</si>
  <si>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</si>
  <si>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</si>
  <si>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</si>
  <si>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</si>
  <si>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</si>
  <si>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</si>
  <si>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</si>
  <si>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</si>
  <si>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</si>
  <si>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</si>
  <si>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</si>
  <si>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</si>
  <si>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</si>
  <si>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</si>
  <si>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</si>
  <si>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</si>
  <si>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</si>
  <si>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</si>
  <si>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</si>
  <si>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</si>
  <si>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</si>
  <si>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</si>
  <si>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</si>
  <si>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</si>
  <si>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</si>
  <si>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</si>
  <si>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</si>
  <si>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</si>
  <si>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</si>
  <si>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</si>
  <si>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</si>
  <si>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</si>
  <si>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</si>
  <si>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</si>
  <si>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</si>
  <si>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</si>
  <si>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</si>
  <si>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</si>
  <si>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</si>
  <si>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</si>
  <si>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</si>
  <si>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</si>
  <si>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</si>
  <si>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</si>
  <si>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</si>
  <si>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</si>
  <si>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</si>
  <si>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</si>
  <si>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</si>
  <si>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</si>
  <si>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</si>
  <si>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</si>
  <si>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</si>
  <si>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</si>
  <si>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</si>
  <si>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</si>
  <si>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</si>
  <si>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</si>
  <si>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</si>
  <si>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</si>
  <si>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</si>
  <si>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</si>
  <si>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</si>
  <si>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</si>
  <si>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</si>
  <si>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</si>
  <si>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</si>
  <si>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</si>
  <si>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</si>
  <si>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</si>
  <si>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</si>
  <si>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</si>
  <si>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</si>
  <si>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</si>
  <si>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</si>
  <si>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</si>
  <si>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</si>
  <si>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</si>
  <si>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</si>
  <si>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</si>
  <si>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</si>
  <si>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</si>
  <si>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</si>
  <si>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</si>
  <si>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</si>
  <si>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</si>
  <si>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</si>
  <si>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</si>
  <si>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</si>
  <si>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</si>
  <si>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</si>
  <si>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</si>
  <si>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</si>
  <si>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</si>
  <si>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</si>
  <si>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</si>
  <si>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</si>
  <si>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</si>
  <si>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</si>
  <si>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</si>
  <si>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</si>
  <si>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</si>
  <si>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</si>
  <si>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</si>
  <si>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</si>
  <si>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</si>
  <si>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</si>
  <si>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</si>
  <si>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</si>
  <si>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</si>
  <si>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</si>
  <si>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</si>
  <si>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</si>
  <si>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</si>
  <si>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</si>
  <si>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</si>
  <si>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</si>
  <si>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</si>
  <si>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</si>
  <si>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</si>
  <si>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</si>
  <si>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</si>
  <si>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</si>
  <si>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</si>
  <si>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</si>
  <si>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</si>
  <si>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</si>
  <si>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</si>
  <si>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</si>
  <si>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</si>
  <si>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</si>
  <si>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</si>
  <si>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</si>
  <si>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</si>
  <si>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</si>
  <si>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</si>
  <si>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</si>
  <si>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</si>
  <si>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</si>
  <si>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</si>
  <si>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</si>
  <si>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</si>
  <si>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</si>
  <si>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</si>
  <si>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</si>
  <si>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</si>
  <si>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</si>
  <si>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</si>
  <si>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</si>
  <si>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</si>
  <si>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</si>
  <si>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</si>
  <si>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</si>
  <si>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</si>
  <si>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</si>
  <si>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</si>
  <si>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</si>
  <si>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</si>
  <si>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</si>
  <si>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</si>
  <si>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</si>
  <si>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</si>
  <si>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</si>
  <si>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</si>
  <si>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</si>
  <si>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</si>
  <si>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</si>
  <si>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</si>
  <si>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</si>
  <si>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</si>
  <si>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</si>
  <si>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</si>
  <si>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</si>
  <si>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</si>
  <si>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</si>
  <si>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</si>
  <si>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</si>
  <si>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</si>
  <si>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</si>
  <si>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</si>
  <si>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</si>
  <si>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</si>
  <si>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</si>
  <si>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</si>
  <si>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</si>
  <si>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</si>
  <si>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</si>
  <si>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</si>
  <si>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</si>
  <si>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</si>
  <si>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</si>
  <si>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</si>
  <si>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</si>
  <si>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</si>
  <si>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</si>
  <si>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</si>
  <si>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</si>
  <si>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</si>
  <si>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</si>
  <si>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</si>
  <si>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</si>
  <si>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</si>
  <si>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</si>
  <si>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</si>
  <si>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</si>
  <si>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</si>
  <si>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</si>
  <si>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</si>
  <si>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</si>
  <si>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</si>
  <si>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</si>
  <si>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</si>
  <si>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</si>
  <si>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</si>
  <si>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</si>
  <si>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</si>
  <si>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</si>
  <si>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</si>
  <si>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</si>
  <si>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</si>
  <si>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</si>
  <si>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</si>
  <si>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</si>
  <si>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</si>
  <si>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</si>
  <si>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</si>
  <si>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</si>
  <si>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</si>
  <si>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</si>
  <si>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</si>
  <si>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</si>
  <si>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</si>
  <si>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</si>
  <si>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</si>
  <si>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</si>
  <si>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</si>
  <si>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</si>
  <si>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</si>
  <si>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</si>
  <si>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</si>
  <si>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</si>
  <si>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</si>
  <si>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</si>
  <si>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</si>
  <si>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</si>
  <si>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</si>
  <si>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</si>
  <si>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</si>
  <si>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</si>
  <si>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</si>
  <si>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</si>
  <si>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</si>
  <si>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</si>
  <si>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</si>
  <si>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</si>
  <si>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</si>
  <si>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</si>
  <si>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</si>
  <si>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</si>
  <si>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</si>
  <si>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</si>
  <si>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</si>
  <si>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</si>
  <si>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</si>
  <si>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</si>
  <si>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</si>
  <si>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</si>
  <si>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</si>
  <si>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</si>
  <si>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</si>
  <si>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</si>
  <si>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</si>
  <si>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</si>
  <si>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</si>
  <si>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</si>
  <si>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</si>
  <si>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</si>
  <si>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</si>
  <si>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</si>
  <si>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</si>
  <si>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</si>
  <si>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</si>
  <si>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</si>
  <si>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</si>
  <si>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</si>
  <si>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</si>
  <si>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</si>
  <si>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</si>
  <si>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</si>
  <si>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</si>
  <si>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</si>
  <si>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</si>
  <si>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</si>
  <si>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</si>
  <si>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</si>
  <si>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</si>
  <si>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</si>
  <si>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</si>
  <si>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</si>
  <si>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</si>
  <si>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</si>
  <si>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</si>
  <si>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</si>
  <si>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</si>
  <si>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</si>
  <si>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</si>
  <si>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</si>
  <si>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</si>
  <si>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</si>
  <si>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</si>
  <si>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</si>
  <si>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</si>
  <si>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</si>
  <si>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</si>
  <si>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</si>
  <si>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</si>
  <si>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</si>
  <si>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</si>
  <si>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</si>
  <si>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</si>
  <si>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</si>
  <si>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</si>
  <si>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</si>
  <si>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</si>
  <si>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</si>
  <si>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</si>
  <si>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</si>
  <si>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</si>
  <si>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</si>
  <si>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</si>
  <si>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</si>
  <si>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</si>
  <si>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</si>
  <si>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</si>
  <si>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</si>
  <si>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</si>
  <si>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</si>
  <si>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</si>
  <si>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</si>
  <si>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</si>
  <si>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</si>
  <si>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</si>
  <si>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</si>
  <si>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</si>
  <si>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</si>
  <si>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</si>
  <si>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</si>
  <si>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</si>
  <si>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</si>
  <si>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</si>
  <si>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</si>
  <si>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</si>
  <si>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</si>
  <si>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</si>
  <si>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</si>
  <si>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</si>
  <si>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</si>
  <si>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</si>
  <si>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</si>
  <si>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</si>
  <si>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</si>
  <si>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</si>
  <si>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</si>
  <si>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</si>
  <si>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</si>
  <si>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</si>
  <si>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</si>
  <si>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</si>
  <si>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</si>
  <si>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</si>
  <si>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</si>
  <si>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</si>
  <si>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</si>
  <si>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</si>
  <si>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</si>
  <si>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</si>
  <si>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</si>
  <si>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</si>
  <si>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</si>
  <si>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</si>
  <si>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</si>
  <si>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</si>
  <si>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</si>
  <si>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</si>
  <si>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</si>
  <si>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</si>
  <si>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</si>
  <si>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</si>
  <si>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</si>
  <si>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</si>
  <si>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</si>
  <si>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</si>
  <si>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</si>
  <si>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</si>
  <si>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</si>
  <si>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</si>
  <si>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</si>
  <si>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</si>
  <si>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</si>
  <si>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</si>
  <si>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</si>
  <si>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</si>
  <si>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</si>
  <si>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</si>
  <si>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</si>
  <si>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</si>
  <si>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</si>
  <si>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</si>
  <si>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</si>
  <si>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</si>
  <si>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</si>
  <si>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</si>
  <si>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</si>
  <si>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</si>
  <si>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</si>
  <si>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</si>
  <si>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</si>
  <si>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</si>
  <si>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</si>
  <si>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</si>
  <si>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</si>
  <si>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</si>
  <si>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</si>
  <si>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</si>
  <si>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</si>
  <si>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</si>
  <si>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</si>
  <si>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</si>
  <si>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</si>
  <si>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</si>
  <si>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</si>
  <si>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</si>
  <si>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</si>
  <si>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</si>
  <si>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</si>
  <si>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</si>
  <si>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</si>
  <si>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</si>
  <si>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</si>
  <si>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</si>
  <si>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</si>
  <si>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</si>
  <si>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</si>
  <si>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</si>
  <si>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</si>
  <si>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</si>
  <si>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</si>
  <si>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</si>
  <si>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</si>
  <si>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</si>
  <si>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</si>
  <si>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</si>
  <si>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</si>
  <si>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</si>
  <si>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</si>
  <si>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</si>
  <si>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</si>
  <si>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</si>
  <si>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</si>
  <si>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</si>
  <si>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</si>
  <si>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</si>
  <si>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</si>
  <si>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</si>
  <si>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</si>
  <si>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</si>
  <si>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</si>
  <si>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</si>
  <si>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</si>
  <si>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</si>
  <si>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</si>
  <si>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</si>
  <si>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</si>
  <si>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</si>
  <si>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</si>
  <si>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</si>
  <si>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</si>
  <si>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</si>
  <si>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</si>
  <si>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</si>
  <si>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</si>
  <si>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</si>
  <si>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</si>
  <si>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</si>
  <si>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</si>
  <si>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</si>
  <si>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</si>
  <si>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</si>
  <si>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</si>
  <si>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</si>
  <si>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</si>
  <si>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</si>
  <si>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</si>
  <si>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</si>
  <si>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</si>
  <si>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</si>
  <si>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</si>
  <si>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</si>
  <si>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</si>
  <si>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</si>
  <si>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</si>
  <si>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</si>
  <si>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</si>
  <si>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</si>
  <si>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</si>
  <si>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</si>
  <si>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</si>
  <si>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</si>
  <si>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</si>
  <si>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</si>
  <si>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</si>
  <si>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</si>
  <si>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</si>
  <si>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</si>
  <si>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</si>
  <si>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</si>
  <si>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</si>
  <si>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</si>
  <si>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</si>
  <si>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</si>
  <si>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</si>
  <si>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</si>
  <si>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</si>
  <si>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</si>
  <si>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</si>
  <si>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</si>
  <si>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</si>
  <si>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</si>
  <si>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</si>
  <si>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</si>
  <si>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</si>
  <si>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</si>
  <si>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</si>
  <si>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</si>
  <si>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</si>
  <si>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</si>
  <si>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</si>
  <si>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</si>
  <si>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</si>
  <si>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</si>
  <si>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</si>
  <si>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</si>
  <si>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</si>
  <si>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</si>
  <si>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</si>
  <si>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</si>
  <si>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</si>
  <si>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</si>
  <si>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</si>
  <si>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</si>
  <si>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</si>
  <si>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</si>
  <si>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</si>
  <si>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</si>
  <si>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</si>
  <si>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</si>
  <si>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</si>
  <si>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</si>
  <si>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</si>
  <si>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</si>
  <si>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</si>
  <si>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</si>
  <si>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</si>
  <si>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</si>
  <si>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</si>
  <si>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</si>
  <si>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</si>
  <si>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</si>
  <si>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</si>
  <si>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</si>
  <si>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</si>
  <si>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</si>
  <si>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</si>
  <si>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</si>
  <si>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</si>
  <si>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</si>
  <si>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</si>
  <si>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</si>
  <si>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</si>
  <si>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</si>
  <si>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</si>
  <si>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</si>
  <si>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</si>
  <si>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</si>
  <si>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</si>
  <si>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</si>
  <si>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</si>
  <si>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</si>
  <si>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</si>
  <si>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</si>
  <si>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</si>
  <si>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</si>
  <si>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</si>
  <si>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</si>
  <si>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</si>
  <si>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</si>
  <si>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</si>
  <si>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</si>
  <si>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</si>
  <si>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</si>
  <si>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</si>
  <si>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</si>
  <si>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</si>
  <si>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</si>
  <si>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</si>
  <si>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</si>
  <si>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</si>
  <si>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</si>
  <si>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</si>
  <si>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</si>
  <si>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</si>
  <si>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</si>
  <si>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</si>
  <si>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</si>
  <si>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</si>
  <si>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</si>
  <si>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</si>
  <si>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</si>
  <si>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</si>
  <si>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</si>
  <si>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</si>
  <si>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</si>
  <si>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</si>
  <si>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</si>
  <si>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</si>
  <si>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</si>
  <si>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</si>
  <si>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</si>
  <si>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</si>
  <si>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</si>
  <si>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</si>
  <si>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</si>
  <si>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</si>
  <si>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</si>
  <si>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</si>
  <si>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</si>
  <si>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</si>
  <si>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</si>
  <si>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</si>
  <si>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</si>
  <si>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</si>
  <si>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</si>
  <si>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</si>
  <si>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</si>
  <si>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</si>
  <si>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</si>
  <si>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</si>
  <si>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</si>
  <si>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</si>
  <si>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</si>
  <si>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</si>
  <si>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</si>
  <si>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</si>
  <si>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</si>
  <si>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</si>
  <si>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</si>
  <si>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</si>
  <si>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</si>
  <si>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</si>
  <si>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</si>
  <si>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</si>
  <si>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</si>
  <si>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</si>
  <si>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</si>
  <si>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</si>
  <si>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</si>
  <si>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</si>
  <si>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</si>
  <si>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</si>
  <si>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</si>
  <si>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</si>
  <si>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</si>
  <si>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</si>
  <si>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</si>
  <si>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</si>
  <si>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</si>
  <si>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</si>
  <si>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</si>
  <si>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</si>
  <si>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</si>
  <si>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</si>
  <si>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</si>
  <si>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</si>
  <si>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</si>
  <si>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</si>
  <si>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</si>
  <si>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</si>
  <si>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</si>
  <si>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</si>
  <si>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</si>
  <si>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</si>
  <si>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</si>
  <si>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</si>
  <si>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</si>
  <si>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</si>
  <si>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</si>
  <si>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</si>
  <si>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</si>
  <si>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</si>
  <si>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</si>
  <si>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</si>
  <si>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</si>
  <si>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</si>
  <si>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</si>
  <si>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</si>
  <si>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</si>
  <si>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</si>
  <si>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</si>
  <si>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</si>
  <si>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</si>
  <si>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</si>
  <si>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</si>
  <si>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</si>
  <si>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</si>
  <si>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</si>
  <si>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</si>
  <si>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</si>
  <si>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</si>
  <si>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</si>
  <si>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</si>
  <si>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</si>
  <si>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</si>
  <si>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</si>
  <si>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</si>
  <si>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</si>
  <si>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</si>
  <si>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</si>
  <si>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</si>
  <si>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</si>
  <si>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</si>
  <si>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</si>
  <si>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</si>
  <si>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</si>
  <si>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</si>
  <si>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</si>
  <si>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</si>
  <si>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</si>
  <si>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</si>
  <si>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</si>
  <si>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</si>
  <si>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</si>
  <si>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</si>
  <si>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</si>
  <si>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</si>
  <si>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</si>
  <si>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</si>
  <si>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</si>
  <si>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</si>
  <si>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</si>
  <si>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</si>
  <si>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</si>
  <si>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</si>
  <si>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</si>
  <si>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</si>
  <si>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</si>
  <si>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</si>
  <si>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</si>
  <si>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</si>
  <si>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</si>
  <si>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</si>
  <si>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</si>
  <si>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</si>
  <si>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</si>
  <si>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</si>
  <si>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</si>
  <si>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</si>
  <si>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</si>
  <si>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</si>
  <si>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</si>
  <si>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</si>
  <si>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</si>
  <si>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</si>
  <si>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</si>
  <si>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</si>
  <si>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</si>
  <si>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</si>
  <si>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</si>
  <si>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</si>
  <si>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</si>
  <si>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</si>
  <si>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</si>
  <si>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</si>
  <si>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</si>
  <si>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</si>
  <si>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</si>
  <si>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</si>
  <si>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</si>
  <si>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</si>
  <si>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</si>
  <si>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</si>
  <si>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</si>
  <si>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</si>
  <si>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</si>
  <si>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</si>
  <si>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</si>
  <si>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</si>
  <si>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</si>
  <si>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</si>
  <si>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</si>
  <si>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</si>
  <si>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</si>
  <si>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</si>
  <si>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</si>
  <si>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</si>
  <si>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</si>
  <si>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</si>
  <si>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</si>
  <si>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</si>
  <si>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</si>
  <si>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</si>
  <si>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</si>
  <si>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</si>
  <si>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</si>
  <si>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</si>
  <si>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</si>
  <si>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</si>
  <si>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</si>
  <si>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</si>
  <si>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</si>
  <si>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</si>
  <si>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</si>
  <si>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</si>
  <si>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</si>
  <si>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</si>
  <si>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</si>
  <si>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</si>
  <si>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</si>
  <si>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</si>
  <si>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</si>
  <si>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</si>
  <si>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</si>
  <si>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</si>
  <si>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</si>
  <si>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</si>
  <si>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</si>
  <si>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</si>
  <si>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</si>
  <si>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</si>
  <si>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</si>
  <si>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</si>
  <si>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</si>
  <si>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</si>
  <si>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</si>
  <si>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</si>
  <si>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</si>
  <si>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</si>
  <si>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</si>
  <si>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</si>
  <si>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</si>
  <si>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</si>
  <si>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</si>
  <si>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</si>
  <si>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</si>
  <si>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</si>
  <si>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</si>
  <si>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</si>
  <si>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</si>
  <si>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</si>
  <si>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</si>
  <si>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</si>
  <si>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</si>
  <si>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</si>
  <si>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</si>
  <si>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</si>
  <si>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</si>
  <si>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</si>
  <si>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</si>
  <si>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</si>
  <si>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</si>
  <si>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</si>
  <si>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</si>
  <si>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</si>
  <si>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</si>
  <si>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</si>
  <si>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</si>
  <si>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</si>
  <si>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</si>
  <si>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</si>
  <si>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</si>
  <si>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</si>
  <si>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</si>
  <si>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</si>
  <si>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</si>
  <si>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</si>
  <si>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</si>
  <si>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</si>
  <si>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</si>
  <si>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</si>
  <si>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</si>
  <si>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</si>
  <si>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</si>
  <si>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</si>
  <si>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</si>
  <si>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</si>
  <si>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</si>
  <si>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</si>
  <si>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</si>
  <si>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</si>
  <si>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</si>
  <si>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</si>
  <si>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</si>
  <si>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</si>
  <si>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</si>
  <si>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</si>
  <si>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</si>
  <si>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</si>
  <si>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</si>
  <si>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</si>
  <si>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</si>
  <si>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</si>
  <si>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</si>
  <si>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</si>
  <si>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</si>
  <si>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</si>
  <si>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</si>
  <si>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</si>
  <si>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</si>
  <si>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</si>
  <si>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</si>
  <si>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</si>
  <si>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</si>
  <si>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</si>
  <si>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</si>
  <si>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</si>
  <si>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</si>
  <si>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</si>
  <si>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</si>
  <si>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</si>
  <si>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</si>
  <si>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</si>
  <si>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</si>
  <si>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</si>
  <si>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</si>
  <si>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</si>
  <si>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</si>
  <si>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</si>
  <si>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</si>
  <si>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</si>
  <si>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</si>
  <si>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</si>
  <si>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</si>
  <si>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</si>
  <si>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</si>
  <si>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</si>
  <si>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</si>
  <si>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</si>
  <si>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</si>
  <si>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</si>
  <si>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</si>
  <si>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</si>
  <si>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</si>
  <si>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</si>
  <si>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</si>
  <si>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</si>
  <si>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</si>
  <si>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</si>
  <si>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</si>
  <si>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</si>
  <si>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</si>
  <si>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</si>
  <si>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</si>
  <si>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</si>
  <si>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</si>
  <si>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</si>
  <si>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</si>
  <si>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</si>
  <si>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</si>
  <si>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</si>
  <si>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</si>
  <si>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</si>
  <si>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</si>
  <si>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</si>
  <si>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</si>
  <si>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</si>
  <si>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</si>
  <si>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</si>
  <si>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</si>
  <si>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</si>
  <si>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</si>
  <si>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</si>
  <si>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</si>
  <si>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</si>
  <si>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</si>
  <si>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</si>
  <si>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</si>
  <si>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</si>
  <si>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</si>
  <si>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</si>
  <si>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</si>
  <si>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</si>
  <si>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</si>
  <si>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</si>
  <si>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</si>
  <si>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</si>
  <si>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</si>
  <si>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</si>
  <si>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</si>
  <si>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</si>
  <si>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</si>
  <si>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</si>
  <si>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</si>
  <si>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</si>
  <si>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</si>
  <si>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</si>
  <si>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</si>
  <si>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</si>
  <si>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</si>
  <si>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</si>
  <si>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</si>
  <si>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</si>
  <si>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</si>
  <si>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</si>
  <si>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</si>
  <si>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</si>
  <si>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</si>
  <si>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</si>
  <si>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</si>
  <si>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</si>
  <si>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</si>
  <si>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</si>
  <si>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</si>
  <si>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</si>
  <si>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</si>
  <si>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</si>
  <si>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</si>
  <si>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</si>
  <si>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</si>
  <si>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</si>
  <si>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</si>
  <si>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</si>
  <si>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</si>
  <si>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</si>
  <si>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</si>
  <si>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</si>
  <si>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</si>
  <si>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</si>
  <si>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</si>
  <si>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</si>
  <si>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</si>
  <si>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</si>
  <si>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</si>
  <si>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</si>
  <si>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</si>
  <si>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</si>
  <si>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</si>
  <si>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</si>
  <si>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</si>
  <si>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</si>
  <si>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</si>
  <si>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</si>
  <si>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</si>
  <si>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</si>
  <si>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</si>
  <si>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</si>
  <si>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</si>
  <si>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</si>
  <si>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</si>
  <si>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</si>
  <si>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</si>
  <si>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</si>
  <si>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</si>
  <si>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</si>
  <si>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</si>
  <si>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</si>
  <si>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</si>
  <si>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</si>
  <si>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</si>
  <si>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</si>
  <si>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</si>
  <si>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</si>
  <si>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</si>
  <si>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</si>
  <si>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</si>
  <si>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</si>
  <si>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</si>
  <si>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</si>
  <si>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</si>
  <si>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</si>
  <si>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</si>
  <si>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</si>
  <si>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</si>
  <si>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</si>
  <si>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</si>
  <si>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</si>
  <si>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</si>
  <si>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</si>
  <si>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</si>
  <si>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</si>
  <si>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</si>
  <si>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</si>
  <si>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</si>
  <si>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</si>
  <si>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</si>
  <si>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</si>
  <si>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</si>
  <si>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</si>
  <si>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</si>
  <si>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</si>
  <si>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</si>
  <si>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</si>
  <si>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</si>
  <si>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</si>
  <si>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</si>
  <si>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</si>
  <si>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</si>
  <si>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</si>
  <si>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</si>
  <si>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</si>
  <si>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</si>
  <si>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</si>
  <si>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</si>
  <si>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</si>
  <si>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</si>
  <si>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</si>
  <si>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</si>
  <si>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</si>
  <si>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</si>
  <si>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</si>
  <si>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</si>
  <si>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</si>
  <si>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</si>
  <si>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</si>
  <si>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</si>
  <si>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</si>
  <si>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</si>
  <si>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</si>
  <si>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</si>
  <si>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</si>
  <si>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</si>
  <si>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</si>
  <si>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</si>
  <si>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</si>
  <si>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</si>
  <si>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</si>
  <si>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</si>
  <si>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</si>
  <si>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</si>
  <si>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</si>
  <si>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</si>
  <si>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</si>
  <si>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</si>
  <si>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</si>
  <si>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</si>
  <si>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</si>
  <si>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</si>
  <si>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</si>
  <si>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</si>
  <si>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</si>
  <si>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</si>
  <si>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</si>
  <si>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</si>
  <si>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</si>
  <si>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</si>
  <si>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</si>
  <si>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</si>
  <si>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</si>
  <si>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</si>
  <si>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</si>
  <si>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</si>
  <si>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</si>
  <si>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</si>
  <si>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</si>
  <si>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</si>
  <si>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</si>
  <si>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</si>
  <si>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</si>
  <si>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</si>
  <si>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</si>
  <si>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</si>
  <si>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</si>
  <si>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</si>
  <si>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</si>
  <si>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</si>
  <si>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</si>
  <si>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</si>
  <si>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</si>
  <si>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</si>
  <si>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</si>
  <si>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</si>
  <si>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</si>
  <si>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</si>
  <si>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</si>
  <si>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</si>
  <si>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</si>
  <si>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</si>
  <si>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</si>
  <si>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</si>
  <si>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</si>
  <si>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</si>
  <si>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</si>
  <si>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</si>
  <si>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</si>
  <si>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</si>
  <si>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</si>
  <si>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</si>
  <si>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</si>
  <si>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</si>
  <si>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</si>
  <si>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</si>
  <si>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</si>
  <si>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</si>
  <si>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</si>
  <si>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</si>
  <si>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</si>
  <si>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</si>
  <si>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</si>
  <si>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</si>
  <si>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</si>
  <si>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</si>
  <si>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</si>
  <si>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</si>
  <si>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</si>
  <si>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</si>
  <si>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</si>
  <si>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</si>
  <si>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</si>
  <si>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</si>
  <si>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</si>
  <si>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</si>
  <si>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</si>
  <si>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</si>
  <si>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</si>
  <si>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</si>
  <si>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</si>
  <si>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</si>
  <si>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</si>
  <si>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</si>
  <si>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</si>
  <si>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</si>
  <si>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</si>
  <si>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</si>
  <si>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</si>
  <si>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</si>
  <si>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</si>
  <si>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</si>
  <si>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</si>
  <si>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</si>
  <si>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</si>
  <si>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</si>
  <si>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</si>
  <si>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</si>
  <si>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</si>
  <si>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</si>
  <si>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</si>
  <si>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</si>
  <si>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</si>
  <si>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</si>
  <si>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</si>
  <si>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</si>
  <si>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</si>
  <si>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</si>
  <si>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</si>
  <si>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</si>
  <si>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</si>
  <si>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</si>
  <si>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</si>
  <si>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</si>
  <si>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</si>
  <si>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</si>
  <si>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</si>
  <si>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</si>
  <si>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</si>
  <si>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</si>
  <si>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</si>
  <si>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</si>
  <si>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</si>
  <si>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</si>
  <si>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</si>
  <si>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</si>
  <si>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</si>
  <si>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</si>
  <si>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</si>
  <si>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</si>
  <si>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</si>
  <si>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</si>
  <si>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</si>
  <si>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</si>
  <si>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</si>
  <si>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</si>
  <si>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</si>
  <si>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</si>
  <si>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</si>
  <si>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</si>
  <si>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</si>
  <si>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</si>
  <si>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</si>
  <si>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</si>
  <si>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</si>
  <si>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</si>
  <si>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</si>
  <si>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</si>
  <si>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</si>
  <si>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</si>
  <si>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</si>
  <si>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</si>
  <si>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</si>
  <si>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</si>
  <si>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</si>
  <si>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</si>
  <si>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</si>
  <si>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</si>
  <si>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</si>
  <si>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</si>
  <si>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</si>
  <si>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</si>
  <si>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</si>
  <si>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</si>
  <si>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</si>
  <si>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</si>
  <si>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</si>
  <si>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</si>
  <si>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</si>
  <si>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</si>
  <si>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</si>
  <si>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</si>
  <si>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</si>
  <si>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</si>
  <si>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</si>
  <si>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</si>
  <si>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</si>
  <si>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</si>
  <si>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</si>
  <si>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</si>
  <si>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</si>
  <si>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</si>
  <si>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</si>
  <si>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</si>
  <si>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</si>
  <si>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</si>
  <si>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</si>
  <si>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</si>
  <si>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</si>
  <si>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</si>
  <si>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</si>
  <si>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</si>
  <si>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</si>
  <si>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</si>
  <si>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</si>
  <si>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</si>
  <si>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</si>
  <si>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</si>
  <si>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</si>
  <si>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</si>
  <si>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</si>
  <si>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</si>
  <si>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</si>
  <si>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</si>
  <si>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</si>
  <si>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</si>
  <si>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</si>
  <si>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</si>
  <si>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</si>
  <si>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</si>
  <si>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</si>
  <si>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</si>
  <si>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</si>
  <si>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</si>
  <si>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</si>
  <si>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</si>
  <si>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</si>
  <si>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</si>
  <si>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</si>
  <si>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</si>
  <si>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</si>
  <si>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</si>
  <si>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</si>
  <si>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</si>
  <si>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</si>
  <si>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</si>
  <si>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</si>
  <si>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</si>
  <si>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</si>
  <si>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</si>
  <si>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</si>
  <si>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</si>
  <si>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</si>
  <si>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</si>
  <si>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</si>
  <si>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</si>
  <si>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</si>
  <si>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</si>
  <si>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</si>
  <si>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</si>
  <si>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</si>
  <si>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</si>
  <si>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</si>
  <si>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</si>
  <si>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</si>
  <si>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</si>
  <si>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</si>
  <si>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</si>
  <si>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</si>
  <si>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</si>
  <si>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</si>
  <si>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</si>
  <si>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</si>
  <si>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</si>
  <si>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</si>
  <si>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</si>
  <si>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</si>
  <si>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</si>
  <si>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</si>
  <si>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</si>
  <si>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</si>
  <si>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</si>
  <si>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</si>
  <si>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</si>
  <si>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</si>
  <si>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</si>
  <si>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</si>
  <si>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</si>
  <si>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</si>
  <si>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</si>
  <si>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</si>
  <si>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</si>
  <si>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</si>
  <si>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</si>
  <si>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</si>
  <si>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</si>
  <si>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</si>
  <si>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</si>
  <si>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</si>
  <si>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</si>
  <si>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</si>
  <si>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</si>
  <si>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</si>
  <si>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</si>
  <si>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</si>
  <si>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</si>
  <si>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</si>
  <si>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</si>
  <si>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</si>
  <si>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</si>
  <si>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</si>
  <si>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</si>
  <si>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</si>
  <si>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</si>
  <si>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</si>
  <si>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</si>
  <si>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</si>
  <si>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</si>
  <si>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</si>
  <si>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</si>
  <si>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</si>
  <si>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</si>
  <si>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</si>
  <si>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</si>
  <si>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</si>
  <si>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</si>
  <si>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</si>
  <si>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</si>
  <si>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</si>
  <si>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</si>
  <si>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</si>
  <si>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</si>
  <si>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</si>
  <si>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</si>
  <si>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</si>
  <si>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</si>
  <si>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</si>
  <si>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</si>
  <si>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</si>
  <si>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</si>
  <si>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</si>
  <si>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</si>
  <si>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</si>
  <si>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</si>
  <si>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</si>
  <si>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</si>
  <si>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</si>
  <si>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</si>
  <si>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</si>
  <si>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</si>
  <si>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</si>
  <si>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</si>
  <si>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</si>
  <si>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</si>
  <si>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</si>
  <si>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</si>
  <si>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</si>
  <si>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</si>
  <si>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</si>
  <si>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</si>
  <si>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</si>
  <si>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</si>
  <si>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</si>
  <si>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</si>
  <si>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</si>
  <si>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</si>
  <si>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</si>
  <si>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</si>
  <si>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</si>
  <si>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</si>
  <si>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</si>
  <si>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</si>
  <si>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</si>
  <si>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</si>
  <si>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</si>
  <si>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</si>
  <si>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</si>
  <si>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</si>
  <si>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</si>
  <si>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</si>
  <si>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</si>
  <si>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</si>
  <si>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</si>
  <si>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</si>
  <si>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</si>
  <si>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</si>
  <si>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</si>
  <si>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</si>
  <si>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</si>
  <si>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</si>
  <si>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</si>
  <si>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</si>
  <si>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</si>
  <si>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</si>
  <si>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</si>
  <si>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</si>
  <si>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</si>
  <si>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</si>
  <si>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</si>
  <si>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</si>
  <si>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</si>
  <si>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</si>
  <si>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</si>
  <si>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</si>
  <si>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</si>
  <si>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</si>
  <si>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</si>
  <si>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</si>
  <si>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</si>
  <si>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</si>
  <si>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</si>
  <si>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</si>
  <si>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</si>
  <si>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</si>
  <si>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</si>
  <si>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</si>
  <si>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</si>
  <si>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</si>
  <si>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</si>
  <si>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</si>
  <si>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</si>
  <si>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</si>
  <si>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</si>
  <si>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</si>
  <si>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</si>
  <si>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</si>
  <si>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</si>
  <si>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</si>
  <si>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</si>
  <si>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</si>
  <si>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</si>
  <si>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</si>
  <si>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</si>
  <si>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</si>
  <si>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</si>
  <si>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</si>
  <si>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</si>
  <si>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</si>
  <si>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</si>
  <si>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</si>
  <si>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</si>
  <si>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</si>
  <si>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</si>
  <si>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</si>
  <si>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</si>
  <si>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</si>
  <si>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</si>
  <si>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</si>
  <si>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</si>
  <si>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</si>
  <si>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</si>
  <si>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</si>
  <si>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</si>
  <si>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</si>
  <si>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</si>
  <si>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</si>
  <si>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</si>
  <si>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</si>
  <si>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</si>
  <si>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</si>
  <si>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</si>
  <si>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</si>
  <si>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</si>
  <si>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</si>
  <si>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</si>
  <si>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</si>
  <si>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</si>
  <si>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</si>
  <si>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</si>
  <si>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</si>
  <si>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</si>
  <si>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</si>
  <si>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</si>
  <si>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</si>
  <si>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</si>
  <si>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</si>
  <si>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</si>
  <si>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</si>
  <si>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</si>
  <si>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</si>
  <si>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</si>
  <si>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</si>
  <si>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</si>
  <si>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</si>
  <si>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</si>
  <si>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</si>
  <si>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</si>
  <si>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</si>
  <si>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</si>
  <si>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</si>
  <si>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</si>
  <si>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</si>
  <si>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</si>
  <si>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</si>
  <si>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</si>
  <si>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</si>
  <si>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</si>
  <si>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</si>
  <si>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</si>
  <si>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</si>
  <si>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</si>
  <si>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</si>
  <si>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</si>
  <si>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</si>
  <si>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</si>
  <si>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</si>
  <si>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</si>
  <si>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</si>
  <si>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</si>
  <si>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</si>
  <si>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</si>
  <si>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</si>
  <si>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</si>
  <si>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</si>
  <si>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</si>
  <si>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</si>
  <si>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</si>
  <si>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</si>
  <si>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</si>
  <si>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</si>
  <si>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</si>
  <si>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</si>
  <si>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</si>
  <si>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</si>
  <si>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</si>
  <si>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</si>
  <si>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</si>
  <si>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</si>
  <si>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</si>
  <si>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</si>
  <si>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</si>
  <si>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</si>
  <si>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</si>
  <si>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</si>
  <si>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</si>
  <si>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</si>
  <si>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</si>
  <si>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</si>
  <si>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</si>
  <si>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</si>
  <si>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</si>
  <si>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</si>
  <si>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</si>
  <si>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</si>
  <si>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</si>
  <si>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</si>
  <si>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</si>
  <si>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</si>
  <si>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</si>
  <si>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</si>
  <si>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</si>
  <si>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</si>
  <si>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</si>
  <si>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</si>
  <si>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</si>
  <si>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</si>
  <si>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</si>
  <si>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</si>
  <si>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</si>
  <si>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</si>
  <si>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</si>
  <si>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</si>
  <si>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</si>
  <si>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</si>
  <si>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</si>
  <si>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</si>
  <si>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</si>
  <si>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</si>
  <si>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</si>
  <si>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</si>
  <si>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</si>
  <si>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</si>
  <si>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</si>
  <si>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</si>
  <si>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</si>
  <si>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</si>
  <si>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</si>
  <si>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</si>
  <si>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</si>
  <si>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</si>
  <si>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</si>
  <si>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</si>
  <si>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</si>
  <si>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</si>
  <si>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</si>
  <si>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</si>
  <si>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</si>
  <si>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</si>
  <si>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</si>
  <si>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</si>
  <si>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</si>
  <si>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</si>
  <si>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</si>
  <si>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</si>
  <si>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</si>
  <si>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</si>
  <si>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</si>
  <si>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</si>
  <si>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</si>
  <si>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</si>
  <si>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</si>
  <si>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</si>
  <si>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</si>
  <si>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</si>
  <si>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</si>
  <si>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</si>
  <si>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</si>
  <si>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</si>
  <si>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</si>
  <si>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</si>
  <si>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</si>
  <si>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</si>
  <si>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</si>
  <si>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</si>
  <si>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</si>
  <si>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</si>
  <si>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</si>
  <si>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</si>
  <si>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</si>
  <si>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</si>
  <si>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</si>
  <si>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</si>
  <si>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</si>
  <si>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</si>
  <si>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</si>
  <si>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</si>
  <si>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</si>
  <si>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</si>
  <si>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</si>
  <si>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</si>
  <si>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</si>
  <si>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</si>
  <si>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</si>
  <si>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</si>
  <si>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</si>
  <si>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</si>
  <si>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</si>
  <si>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</si>
  <si>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</si>
  <si>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</si>
  <si>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</si>
  <si>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</si>
  <si>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</si>
  <si>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</si>
  <si>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</si>
  <si>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</si>
  <si>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</si>
  <si>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</si>
  <si>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</si>
  <si>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</si>
  <si>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</si>
  <si>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</si>
  <si>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</si>
  <si>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</si>
  <si>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</si>
  <si>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</si>
  <si>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</si>
  <si>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</si>
  <si>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</si>
  <si>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</si>
  <si>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</si>
  <si>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</si>
  <si>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</si>
  <si>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</si>
  <si>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</si>
  <si>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</si>
  <si>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</si>
  <si>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</si>
  <si>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</si>
  <si>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</si>
  <si>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</si>
  <si>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</si>
  <si>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</si>
  <si>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</si>
  <si>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</si>
  <si>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</si>
  <si>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</si>
  <si>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</si>
  <si>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</si>
  <si>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</si>
  <si>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</si>
  <si>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</si>
  <si>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</si>
  <si>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</si>
  <si>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</si>
  <si>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</si>
  <si>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</si>
  <si>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</si>
  <si>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</si>
  <si>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</si>
  <si>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</si>
  <si>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</si>
  <si>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</si>
  <si>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</si>
  <si>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</si>
  <si>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</si>
  <si>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</si>
  <si>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</si>
  <si>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</si>
  <si>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</si>
  <si>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</si>
  <si>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</si>
  <si>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</si>
  <si>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</si>
  <si>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</si>
  <si>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</si>
  <si>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</si>
  <si>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</si>
  <si>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</si>
  <si>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</si>
  <si>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</si>
  <si>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</si>
  <si>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</si>
  <si>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</si>
  <si>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</si>
  <si>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</si>
  <si>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</si>
  <si>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</si>
  <si>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</si>
  <si>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</si>
  <si>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</si>
  <si>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</si>
  <si>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</si>
  <si>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</si>
  <si>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</si>
  <si>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</si>
  <si>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</si>
  <si>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</si>
  <si>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</si>
  <si>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</si>
  <si>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</si>
  <si>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</si>
  <si>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</si>
  <si>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</si>
  <si>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</si>
  <si>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</si>
  <si>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</si>
  <si>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</si>
  <si>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</si>
  <si>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</si>
  <si>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</si>
  <si>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</si>
  <si>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</si>
  <si>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</si>
  <si>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</si>
  <si>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</si>
  <si>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</si>
  <si>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</si>
  <si>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</si>
  <si>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</si>
  <si>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</si>
  <si>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</si>
  <si>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</si>
  <si>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</si>
  <si>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</si>
  <si>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</si>
  <si>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</si>
  <si>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</si>
  <si>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</si>
  <si>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</si>
  <si>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</si>
  <si>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</si>
  <si>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</si>
  <si>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</si>
  <si>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</si>
  <si>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</si>
  <si>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</si>
  <si>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</si>
  <si>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</si>
  <si>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</si>
  <si>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</si>
  <si>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</si>
  <si>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</si>
  <si>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</si>
  <si>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</si>
  <si>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</si>
  <si>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</si>
  <si>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</si>
  <si>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</si>
  <si>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</si>
  <si>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</si>
  <si>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</si>
  <si>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</si>
  <si>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</si>
  <si>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</si>
  <si>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</si>
  <si>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</si>
  <si>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</si>
  <si>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</si>
  <si>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</si>
  <si>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</si>
  <si>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</si>
  <si>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</si>
  <si>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</si>
  <si>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</si>
  <si>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</si>
  <si>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</si>
  <si>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</si>
  <si>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</si>
  <si>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</si>
  <si>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</si>
  <si>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</si>
  <si>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</si>
  <si>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</si>
  <si>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</si>
  <si>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</si>
  <si>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</si>
  <si>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</si>
  <si>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</si>
  <si>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</si>
  <si>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</si>
  <si>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</si>
  <si>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</si>
  <si>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</si>
  <si>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</si>
  <si>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</si>
  <si>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</si>
  <si>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</si>
  <si>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</si>
  <si>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</si>
  <si>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</si>
  <si>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</si>
  <si>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</si>
  <si>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</si>
  <si>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</si>
  <si>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</si>
  <si>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</si>
  <si>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</si>
  <si>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</si>
  <si>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</si>
  <si>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</si>
  <si>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</si>
  <si>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</si>
  <si>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</si>
  <si>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</si>
  <si>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</si>
  <si>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</si>
  <si>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</si>
  <si>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</si>
  <si>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</si>
  <si>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</si>
  <si>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</si>
  <si>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</si>
  <si>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</si>
  <si>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</si>
  <si>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</si>
  <si>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</si>
  <si>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</si>
  <si>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</si>
  <si>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</si>
  <si>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</si>
  <si>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</si>
  <si>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</si>
  <si>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</si>
  <si>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</si>
  <si>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</si>
  <si>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</si>
  <si>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</si>
  <si>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</si>
  <si>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</si>
  <si>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</si>
  <si>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</si>
  <si>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</si>
  <si>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</si>
  <si>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</si>
  <si>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</si>
  <si>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</si>
  <si>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</si>
  <si>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</si>
  <si>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</si>
  <si>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</si>
  <si>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</si>
  <si>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</si>
  <si>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</si>
  <si>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</si>
  <si>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</si>
  <si>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</si>
  <si>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</si>
  <si>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</si>
  <si>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</si>
  <si>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</si>
  <si>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</si>
  <si>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</si>
  <si>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</si>
  <si>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</si>
  <si>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</si>
  <si>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</si>
  <si>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</si>
  <si>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</si>
  <si>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</si>
  <si>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</si>
  <si>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</si>
  <si>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</si>
  <si>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</si>
  <si>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</si>
  <si>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</si>
  <si>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</si>
  <si>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</si>
  <si>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</si>
  <si>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</si>
  <si>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</si>
  <si>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</si>
  <si>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</si>
  <si>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</si>
  <si>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</si>
  <si>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</si>
  <si>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</si>
  <si>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</si>
  <si>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</si>
  <si>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</si>
  <si>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</si>
  <si>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</si>
  <si>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</si>
  <si>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</si>
  <si>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</si>
  <si>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</si>
  <si>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</si>
  <si>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</si>
  <si>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</si>
  <si>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</si>
  <si>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</si>
  <si>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</si>
  <si>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</si>
  <si>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</si>
  <si>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</si>
  <si>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</si>
  <si>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</si>
  <si>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</si>
  <si>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</si>
  <si>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</si>
  <si>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</si>
  <si>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</si>
  <si>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</si>
  <si>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</si>
  <si>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</si>
  <si>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</si>
  <si>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</si>
  <si>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</si>
  <si>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</si>
  <si>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</si>
  <si>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</si>
  <si>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</si>
  <si>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</si>
  <si>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</si>
  <si>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</si>
  <si>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</si>
  <si>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</si>
  <si>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</si>
  <si>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</si>
  <si>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</si>
  <si>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</si>
  <si>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</si>
  <si>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</si>
  <si>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</si>
  <si>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</si>
  <si>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</si>
  <si>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</si>
  <si>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</si>
  <si>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</si>
  <si>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</si>
  <si>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</si>
  <si>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</si>
  <si>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</si>
  <si>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</si>
  <si>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</si>
  <si>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</si>
  <si>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</si>
  <si>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</si>
  <si>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</si>
  <si>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</si>
  <si>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</si>
  <si>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</si>
  <si>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</si>
  <si>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</si>
  <si>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</si>
  <si>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</si>
  <si>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</si>
  <si>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</si>
  <si>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</si>
  <si>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</si>
  <si>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</si>
  <si>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</si>
  <si>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</si>
  <si>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</si>
  <si>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</si>
  <si>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</si>
  <si>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</si>
  <si>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</si>
  <si>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</si>
  <si>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</si>
  <si>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</si>
  <si>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</si>
  <si>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</si>
  <si>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</si>
  <si>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</si>
  <si>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</si>
  <si>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</si>
  <si>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</si>
  <si>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</si>
  <si>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</si>
  <si>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</si>
  <si>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</si>
  <si>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</si>
  <si>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</si>
  <si>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</si>
  <si>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</si>
  <si>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</si>
  <si>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</si>
  <si>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</si>
  <si>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</si>
  <si>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</si>
  <si>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</si>
  <si>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</si>
  <si>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</si>
  <si>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</si>
  <si>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</si>
  <si>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</si>
  <si>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</si>
  <si>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</si>
  <si>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</si>
  <si>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</si>
  <si>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</si>
  <si>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</si>
  <si>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</si>
  <si>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</si>
  <si>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</si>
  <si>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</si>
  <si>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</si>
  <si>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</si>
  <si>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</si>
  <si>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</si>
  <si>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</si>
  <si>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</si>
  <si>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</si>
  <si>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</si>
  <si>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</si>
  <si>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</si>
  <si>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</si>
  <si>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</si>
  <si>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</si>
  <si>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</si>
  <si>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</si>
  <si>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</si>
  <si>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</si>
  <si>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</si>
  <si>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</si>
  <si>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</si>
  <si>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</si>
  <si>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</si>
  <si>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</si>
  <si>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</si>
  <si>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</si>
  <si>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</si>
  <si>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</si>
  <si>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</si>
  <si>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</si>
  <si>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</si>
  <si>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</si>
  <si>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</si>
  <si>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</si>
  <si>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</si>
  <si>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</si>
  <si>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</si>
  <si>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</si>
  <si>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</si>
  <si>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</si>
  <si>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</si>
  <si>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</si>
  <si>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</si>
  <si>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</si>
  <si>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</si>
  <si>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</si>
  <si>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</si>
  <si>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</si>
  <si>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</si>
  <si>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</si>
  <si>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</si>
  <si>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</si>
  <si>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</si>
  <si>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</si>
  <si>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</si>
  <si>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</si>
  <si>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</si>
  <si>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</si>
  <si>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</si>
  <si>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</si>
  <si>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</si>
  <si>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</si>
  <si>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</si>
  <si>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</si>
  <si>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</si>
  <si>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</si>
  <si>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</si>
  <si>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</si>
  <si>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</si>
  <si>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</si>
  <si>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</si>
  <si>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</si>
  <si>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</si>
  <si>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</si>
  <si>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</si>
  <si>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</si>
  <si>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</si>
  <si>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</si>
  <si>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</si>
  <si>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</si>
  <si>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</si>
  <si>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</si>
  <si>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</si>
  <si>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</si>
  <si>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</si>
  <si>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</si>
  <si>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</si>
  <si>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</si>
  <si>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</si>
  <si>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</si>
  <si>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</si>
  <si>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</si>
  <si>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</si>
  <si>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</si>
  <si>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</si>
  <si>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</si>
  <si>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</si>
  <si>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</si>
  <si>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</si>
  <si>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</si>
  <si>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</si>
  <si>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</si>
  <si>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</si>
  <si>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</si>
  <si>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</si>
  <si>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</si>
  <si>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</si>
  <si>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</si>
  <si>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</si>
  <si>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</si>
  <si>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</si>
  <si>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</si>
  <si>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</si>
  <si>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</si>
  <si>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</si>
  <si>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</si>
  <si>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</si>
  <si>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</si>
  <si>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</si>
  <si>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</si>
  <si>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</si>
  <si>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</si>
  <si>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</si>
  <si>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</si>
  <si>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</si>
  <si>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</si>
  <si>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</si>
  <si>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</si>
  <si>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</si>
  <si>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</si>
  <si>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</si>
  <si>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</si>
  <si>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</si>
  <si>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</si>
  <si>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</si>
  <si>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</si>
  <si>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</si>
  <si>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</si>
  <si>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</si>
  <si>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</si>
  <si>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</si>
  <si>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</si>
  <si>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</si>
  <si>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</si>
  <si>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</si>
  <si>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</si>
  <si>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</si>
  <si>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</si>
  <si>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</si>
  <si>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</si>
  <si>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</si>
  <si>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</si>
  <si>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</si>
  <si>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</si>
  <si>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</si>
  <si>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</si>
  <si>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</si>
  <si>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</si>
  <si>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</si>
  <si>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</si>
  <si>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</si>
  <si>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</si>
  <si>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</si>
  <si>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</si>
  <si>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</si>
  <si>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</si>
  <si>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</si>
  <si>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</si>
  <si>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</si>
  <si>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</si>
  <si>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</si>
  <si>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</si>
  <si>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</si>
  <si>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</si>
  <si>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</si>
  <si>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</si>
  <si>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</si>
  <si>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</si>
  <si>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</si>
  <si>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</si>
  <si>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</si>
  <si>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</si>
  <si>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</si>
  <si>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</si>
  <si>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</si>
  <si>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</si>
  <si>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</si>
  <si>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</si>
  <si>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</si>
  <si>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</si>
  <si>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</si>
  <si>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</si>
  <si>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</si>
  <si>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</si>
  <si>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</si>
  <si>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</si>
  <si>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</si>
  <si>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</si>
  <si>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</si>
  <si>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</si>
  <si>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</si>
  <si>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</si>
  <si>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</si>
  <si>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</si>
  <si>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</si>
  <si>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</si>
  <si>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</si>
  <si>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</si>
  <si>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</si>
  <si>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</si>
  <si>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</si>
  <si>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</si>
  <si>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</si>
  <si>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</si>
  <si>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</si>
  <si>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</si>
  <si>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</si>
  <si>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</si>
  <si>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</si>
  <si>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</si>
  <si>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</si>
  <si>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</si>
  <si>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</si>
  <si>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</si>
  <si>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</si>
  <si>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</si>
  <si>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</si>
  <si>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</si>
  <si>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</si>
  <si>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</si>
  <si>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</si>
  <si>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</si>
  <si>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</si>
  <si>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</si>
  <si>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</si>
  <si>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</si>
  <si>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</si>
  <si>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</si>
  <si>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</si>
  <si>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</si>
  <si>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</si>
  <si>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</si>
  <si>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</si>
  <si>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</si>
  <si>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</si>
  <si>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</si>
  <si>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</si>
  <si>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</si>
  <si>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</si>
  <si>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</si>
  <si>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</si>
  <si>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</si>
  <si>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</si>
  <si>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</si>
  <si>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</si>
  <si>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</si>
  <si>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</si>
  <si>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</si>
  <si>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</si>
  <si>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</si>
  <si>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</si>
  <si>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</si>
  <si>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</si>
  <si>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</si>
  <si>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</si>
  <si>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</si>
  <si>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</si>
  <si>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</si>
  <si>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</si>
  <si>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</si>
  <si>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</si>
  <si>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</si>
  <si>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</si>
  <si>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</si>
  <si>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</si>
  <si>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</si>
  <si>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</si>
  <si>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</si>
  <si>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</si>
  <si>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</si>
  <si>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</si>
  <si>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</si>
  <si>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</si>
  <si>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</si>
  <si>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</si>
  <si>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</si>
  <si>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</si>
  <si>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</si>
  <si>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</si>
  <si>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</si>
  <si>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</si>
  <si>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</si>
  <si>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</si>
  <si>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</si>
  <si>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</si>
  <si>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</si>
  <si>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</si>
  <si>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</si>
  <si>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</si>
  <si>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</si>
  <si>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</si>
  <si>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</si>
  <si>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</si>
  <si>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</si>
  <si>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</si>
  <si>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</si>
  <si>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</si>
  <si>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</si>
  <si>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</si>
  <si>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</si>
  <si>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</si>
  <si>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</si>
  <si>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</si>
  <si>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</si>
  <si>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</si>
  <si>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</si>
  <si>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</si>
  <si>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</si>
  <si>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</si>
  <si>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</si>
  <si>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</si>
  <si>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</si>
  <si>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</si>
  <si>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</si>
  <si>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</si>
  <si>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</si>
  <si>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</si>
  <si>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</si>
  <si>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</si>
  <si>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</si>
  <si>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</si>
  <si>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</si>
  <si>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</si>
  <si>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</si>
  <si>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</si>
  <si>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</si>
  <si>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</si>
  <si>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</si>
  <si>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</si>
  <si>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</si>
  <si>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</si>
  <si>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</si>
  <si>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</si>
  <si>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</si>
  <si>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</si>
  <si>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</si>
  <si>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</si>
  <si>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</si>
  <si>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</si>
  <si>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</si>
  <si>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</si>
  <si>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</si>
  <si>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</si>
  <si>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</si>
  <si>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</si>
  <si>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</si>
  <si>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</si>
  <si>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</si>
  <si>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</si>
  <si>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</si>
  <si>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</si>
  <si>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</si>
  <si>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</si>
  <si>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</si>
  <si>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</si>
  <si>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</si>
  <si>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</si>
  <si>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</si>
  <si>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</si>
  <si>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</si>
  <si>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</si>
  <si>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</si>
  <si>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</si>
  <si>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</si>
  <si>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</si>
  <si>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</si>
  <si>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</si>
  <si>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</si>
  <si>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</si>
  <si>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</si>
  <si>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</si>
  <si>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</si>
  <si>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</si>
  <si>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</si>
  <si>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</si>
  <si>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</si>
  <si>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</si>
  <si>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</si>
  <si>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</si>
  <si>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</si>
  <si>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</si>
  <si>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</si>
  <si>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</si>
  <si>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</si>
  <si>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</si>
  <si>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</si>
  <si>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</si>
  <si>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</si>
  <si>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</si>
  <si>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</si>
  <si>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</si>
  <si>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</si>
  <si>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</si>
  <si>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</si>
  <si>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</si>
  <si>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</si>
  <si>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</si>
  <si>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</si>
  <si>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</si>
  <si>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</si>
  <si>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</si>
  <si>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</si>
  <si>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</si>
  <si>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</si>
  <si>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</si>
  <si>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</si>
  <si>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</si>
  <si>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</si>
  <si>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</si>
  <si>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</si>
  <si>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</si>
  <si>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</si>
  <si>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</si>
  <si>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</si>
  <si>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</si>
  <si>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</si>
  <si>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</si>
  <si>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</si>
  <si>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</si>
  <si>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</si>
  <si>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</si>
  <si>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</si>
  <si>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</si>
  <si>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</si>
  <si>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</si>
  <si>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</si>
  <si>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</si>
  <si>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</si>
  <si>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</si>
  <si>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</si>
  <si>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</si>
  <si>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</si>
  <si>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</si>
  <si>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</si>
  <si>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</si>
  <si>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</si>
  <si>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</si>
  <si>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</si>
  <si>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</si>
  <si>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</si>
  <si>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</si>
  <si>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</si>
  <si>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</si>
  <si>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</si>
  <si>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</si>
  <si>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</si>
  <si>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</si>
  <si>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</si>
  <si>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</si>
  <si>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</si>
  <si>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</si>
  <si>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</si>
  <si>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</si>
  <si>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</si>
  <si>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</si>
  <si>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</si>
  <si>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</si>
  <si>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</si>
  <si>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</si>
  <si>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</si>
  <si>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</si>
  <si>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</si>
  <si>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</si>
  <si>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</si>
  <si>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</si>
  <si>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</si>
  <si>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</si>
  <si>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</si>
  <si>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</si>
  <si>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</si>
  <si>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</si>
  <si>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</si>
  <si>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</si>
  <si>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</si>
  <si>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</si>
  <si>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</si>
  <si>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</si>
  <si>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</si>
  <si>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</si>
  <si>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</si>
  <si>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</si>
  <si>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</si>
  <si>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</si>
  <si>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</si>
  <si>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</si>
  <si>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</si>
  <si>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</si>
  <si>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</si>
  <si>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</si>
  <si>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</si>
  <si>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</si>
  <si>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</si>
  <si>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</si>
  <si>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</si>
  <si>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</si>
  <si>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</si>
  <si>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</si>
  <si>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</si>
  <si>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</si>
  <si>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</si>
  <si>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</si>
  <si>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</si>
  <si>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</si>
  <si>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</si>
  <si>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</si>
  <si>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</si>
  <si>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</si>
  <si>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</si>
  <si>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</si>
  <si>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</si>
  <si>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</si>
  <si>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</si>
  <si>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</si>
  <si>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</si>
  <si>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</si>
  <si>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</si>
  <si>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</si>
  <si>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</si>
  <si>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</si>
  <si>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</si>
  <si>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</si>
  <si>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</si>
  <si>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</si>
  <si>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</si>
  <si>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</si>
  <si>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</si>
  <si>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</si>
  <si>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</si>
  <si>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</si>
  <si>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</si>
  <si>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</si>
  <si>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</si>
  <si>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</si>
  <si>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</si>
  <si>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</si>
  <si>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</si>
  <si>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</si>
  <si>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</si>
  <si>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</si>
  <si>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</si>
  <si>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</si>
  <si>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</si>
  <si>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</si>
  <si>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</si>
  <si>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</si>
  <si>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</si>
  <si>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</si>
  <si>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</si>
  <si>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</si>
  <si>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</si>
  <si>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</si>
  <si>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</si>
  <si>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</si>
  <si>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</si>
  <si>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</si>
  <si>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</si>
  <si>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</si>
  <si>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</si>
  <si>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</si>
  <si>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</si>
  <si>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</si>
  <si>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</si>
  <si>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</si>
  <si>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</si>
  <si>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</si>
  <si>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</si>
  <si>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</si>
  <si>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</si>
  <si>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</si>
  <si>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</si>
  <si>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</si>
  <si>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</si>
  <si>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</si>
  <si>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</si>
  <si>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</si>
  <si>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</si>
  <si>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</si>
  <si>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</si>
  <si>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</si>
  <si>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</si>
  <si>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</si>
  <si>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</si>
  <si>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</si>
  <si>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</si>
  <si>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</si>
  <si>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</si>
  <si>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</si>
  <si>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</si>
  <si>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</si>
  <si>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</si>
  <si>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</si>
  <si>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</si>
  <si>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</si>
  <si>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</si>
  <si>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</si>
  <si>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</si>
  <si>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</si>
  <si>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</si>
  <si>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</si>
  <si>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</si>
  <si>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</si>
  <si>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</si>
  <si>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</si>
  <si>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</si>
  <si>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</si>
  <si>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</si>
  <si>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</si>
  <si>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</si>
  <si>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</si>
  <si>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</si>
  <si>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</si>
  <si>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</si>
  <si>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</si>
  <si>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</si>
  <si>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</si>
  <si>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</si>
  <si>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</si>
  <si>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</si>
  <si>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</si>
  <si>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</si>
  <si>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</si>
  <si>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</si>
  <si>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</si>
  <si>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</si>
  <si>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</si>
  <si>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</si>
  <si>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</si>
  <si>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</si>
  <si>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</si>
  <si>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</si>
  <si>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</si>
  <si>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</si>
  <si>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</si>
  <si>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</si>
  <si>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</si>
  <si>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</si>
  <si>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</si>
  <si>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</si>
  <si>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</si>
  <si>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</si>
  <si>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</si>
  <si>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</si>
  <si>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</si>
  <si>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</si>
  <si>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</si>
  <si>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</si>
  <si>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</si>
  <si>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</si>
  <si>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</si>
  <si>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</si>
  <si>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</si>
  <si>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</si>
  <si>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</si>
  <si>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</si>
  <si>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</si>
  <si>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</si>
  <si>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</si>
  <si>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</si>
  <si>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</si>
  <si>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</si>
  <si>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</si>
  <si>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</si>
  <si>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</si>
  <si>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</si>
  <si>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</si>
  <si>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</si>
  <si>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</si>
  <si>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</si>
  <si>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</si>
  <si>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</si>
  <si>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</si>
  <si>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</si>
  <si>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</si>
  <si>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</si>
  <si>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</si>
  <si>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</si>
  <si>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</si>
  <si>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</si>
  <si>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</si>
  <si>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</si>
  <si>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</si>
  <si>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</si>
  <si>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</si>
  <si>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</si>
  <si>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</si>
  <si>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</si>
  <si>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</si>
  <si>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</si>
  <si>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</si>
  <si>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</si>
  <si>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</si>
  <si>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</si>
  <si>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</si>
  <si>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</si>
  <si>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</si>
  <si>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</si>
  <si>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</si>
  <si>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</si>
  <si>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</si>
  <si>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</si>
  <si>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</si>
  <si>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</si>
  <si>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</si>
  <si>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</si>
  <si>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</si>
  <si>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</si>
  <si>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</si>
  <si>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</si>
  <si>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</si>
  <si>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</si>
  <si>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</si>
  <si>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</si>
  <si>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</si>
  <si>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</si>
  <si>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</si>
  <si>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</si>
  <si>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</si>
  <si>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</si>
  <si>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</si>
  <si>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</si>
  <si>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</si>
  <si>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</si>
  <si>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</si>
  <si>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</si>
  <si>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</si>
  <si>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</si>
  <si>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</si>
  <si>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</si>
  <si>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</si>
  <si>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</si>
  <si>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</si>
  <si>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</si>
  <si>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</si>
  <si>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</si>
  <si>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</si>
  <si>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</si>
  <si>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</si>
  <si>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</si>
  <si>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</si>
  <si>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</si>
  <si>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</si>
  <si>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</si>
  <si>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</si>
  <si>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</si>
  <si>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</si>
  <si>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</si>
  <si>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</si>
  <si>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</si>
  <si>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</si>
  <si>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</si>
  <si>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</si>
  <si>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</si>
  <si>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</si>
  <si>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</si>
  <si>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</si>
  <si>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</si>
  <si>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</si>
  <si>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</si>
  <si>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</si>
  <si>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</si>
  <si>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</si>
  <si>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</si>
  <si>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</si>
  <si>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</si>
  <si>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</si>
  <si>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</si>
  <si>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</si>
  <si>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</si>
  <si>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</si>
  <si>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</si>
  <si>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</si>
  <si>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</si>
  <si>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</si>
  <si>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</si>
  <si>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</si>
  <si>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</si>
  <si>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</si>
  <si>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</si>
  <si>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</si>
  <si>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</si>
  <si>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</si>
  <si>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</si>
  <si>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</si>
  <si>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</si>
  <si>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</si>
  <si>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</si>
  <si>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</si>
  <si>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</si>
  <si>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</si>
  <si>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</si>
  <si>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</si>
  <si>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</si>
  <si>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</si>
  <si>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</si>
  <si>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</si>
  <si>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</si>
  <si>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</si>
  <si>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</si>
  <si>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</si>
  <si>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</si>
  <si>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</si>
  <si>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</si>
  <si>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</si>
  <si>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</si>
  <si>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</si>
  <si>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</si>
  <si>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</si>
  <si>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</si>
  <si>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</si>
  <si>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</si>
  <si>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</si>
  <si>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</si>
  <si>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</si>
  <si>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</si>
  <si>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</si>
  <si>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</si>
  <si>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</si>
  <si>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</si>
  <si>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</si>
  <si>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</si>
  <si>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</si>
  <si>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</si>
  <si>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</si>
  <si>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</si>
  <si>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</si>
  <si>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</si>
  <si>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</si>
  <si>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</si>
  <si>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</si>
  <si>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</si>
  <si>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</si>
  <si>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</si>
  <si>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</si>
  <si>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</si>
  <si>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</si>
  <si>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</si>
  <si>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</si>
  <si>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</si>
  <si>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</si>
  <si>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</si>
  <si>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</si>
  <si>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</si>
  <si>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</si>
  <si>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</si>
  <si>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</si>
  <si>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</si>
  <si>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</si>
  <si>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</si>
  <si>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</si>
  <si>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</si>
  <si>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</si>
  <si>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</si>
  <si>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</si>
  <si>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</si>
  <si>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</si>
  <si>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</si>
  <si>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</si>
  <si>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</si>
  <si>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</si>
  <si>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</si>
  <si>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</si>
  <si>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</si>
  <si>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</si>
  <si>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</si>
  <si>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</si>
  <si>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</si>
  <si>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</si>
  <si>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</si>
  <si>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</si>
  <si>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</si>
  <si>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</si>
  <si>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</si>
  <si>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</si>
  <si>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</si>
  <si>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</si>
  <si>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</si>
  <si>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</si>
  <si>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</si>
  <si>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</si>
  <si>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</si>
  <si>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</si>
  <si>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</si>
  <si>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</si>
  <si>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</si>
  <si>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</si>
  <si>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</si>
  <si>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</si>
  <si>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</si>
  <si>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</si>
  <si>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</si>
  <si>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</si>
  <si>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</si>
  <si>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</si>
  <si>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</si>
  <si>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</si>
  <si>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</si>
  <si>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</si>
  <si>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</si>
  <si>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</si>
  <si>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</si>
  <si>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</si>
  <si>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</si>
  <si>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</si>
  <si>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</si>
  <si>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</si>
  <si>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</si>
  <si>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</si>
  <si>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</si>
  <si>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</si>
  <si>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</si>
  <si>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</si>
  <si>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</si>
  <si>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</si>
  <si>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</si>
  <si>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</si>
  <si>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</si>
  <si>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</si>
  <si>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</si>
  <si>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</si>
  <si>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</si>
  <si>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</si>
  <si>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</si>
  <si>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</si>
  <si>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</si>
  <si>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</si>
  <si>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</si>
  <si>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</si>
  <si>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</si>
  <si>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</si>
  <si>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</si>
  <si>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</si>
  <si>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</si>
  <si>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</si>
  <si>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</si>
  <si>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</si>
  <si>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</si>
  <si>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</si>
  <si>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</si>
  <si>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</si>
  <si>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</si>
  <si>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</si>
  <si>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</si>
  <si>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</si>
  <si>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</si>
  <si>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</si>
  <si>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</si>
  <si>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</si>
  <si>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</si>
  <si>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</si>
  <si>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</si>
  <si>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</si>
  <si>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</si>
  <si>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</si>
  <si>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</si>
  <si>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</si>
  <si>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</si>
  <si>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</si>
  <si>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</si>
  <si>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</si>
  <si>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</si>
  <si>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</si>
  <si>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</si>
  <si>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</si>
  <si>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</si>
  <si>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</si>
  <si>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</si>
  <si>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</si>
  <si>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</si>
  <si>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</si>
  <si>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</si>
  <si>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</si>
  <si>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</si>
  <si>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</si>
  <si>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</si>
  <si>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</si>
  <si>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</si>
  <si>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</si>
  <si>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</si>
  <si>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</si>
  <si>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</si>
  <si>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</si>
  <si>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</si>
  <si>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</si>
  <si>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</si>
  <si>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</si>
  <si>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</si>
  <si>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</si>
  <si>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</si>
  <si>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</si>
  <si>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</si>
  <si>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</si>
  <si>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</si>
  <si>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</si>
  <si>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</si>
  <si>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</si>
  <si>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</si>
  <si>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</si>
  <si>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</si>
  <si>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</si>
  <si>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</si>
  <si>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</si>
  <si>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</si>
  <si>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</si>
  <si>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</si>
  <si>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</si>
  <si>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</si>
  <si>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</si>
  <si>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</si>
  <si>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</si>
  <si>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</si>
  <si>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</si>
  <si>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</si>
  <si>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</si>
  <si>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</si>
  <si>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</si>
  <si>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</si>
  <si>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</si>
  <si>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</si>
  <si>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</si>
  <si>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</si>
  <si>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</si>
  <si>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</si>
  <si>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</si>
  <si>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</si>
  <si>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</si>
  <si>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</si>
  <si>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</si>
  <si>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</si>
  <si>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</si>
  <si>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</si>
  <si>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</si>
  <si>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</si>
  <si>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</si>
  <si>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</si>
  <si>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</si>
  <si>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</si>
  <si>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</si>
  <si>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</si>
  <si>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</si>
  <si>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</si>
  <si>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</si>
  <si>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</si>
  <si>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</si>
  <si>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</si>
  <si>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</si>
  <si>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</si>
  <si>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</si>
  <si>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</si>
  <si>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</si>
  <si>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</si>
  <si>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</si>
  <si>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</si>
  <si>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</si>
  <si>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</si>
  <si>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</si>
  <si>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</si>
  <si>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</si>
  <si>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</si>
  <si>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</si>
  <si>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</si>
  <si>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</si>
  <si>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</si>
  <si>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</si>
  <si>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</si>
  <si>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</si>
  <si>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</si>
  <si>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</si>
  <si>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</si>
  <si>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</si>
  <si>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</si>
  <si>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</si>
  <si>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</si>
  <si>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</si>
  <si>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</si>
  <si>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</si>
  <si>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</si>
  <si>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</si>
  <si>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</si>
  <si>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</si>
  <si>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</si>
  <si>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</si>
  <si>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</si>
  <si>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</si>
  <si>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</si>
  <si>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</si>
  <si>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</si>
  <si>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</si>
  <si>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</si>
  <si>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</si>
  <si>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</si>
  <si>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</si>
  <si>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</si>
  <si>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</si>
  <si>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</si>
  <si>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</si>
  <si>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</si>
  <si>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</si>
  <si>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</si>
  <si>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</si>
  <si>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</si>
  <si>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</si>
  <si>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</si>
  <si>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</si>
  <si>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</si>
  <si>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</si>
  <si>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</si>
  <si>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</si>
  <si>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</si>
  <si>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</si>
  <si>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</si>
  <si>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</si>
  <si>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</si>
  <si>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</si>
  <si>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</si>
  <si>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</si>
  <si>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</si>
  <si>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</si>
  <si>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</si>
  <si>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</si>
  <si>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</si>
  <si>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</si>
  <si>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</si>
  <si>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</si>
  <si>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</si>
  <si>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</si>
  <si>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</si>
  <si>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</si>
  <si>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</si>
  <si>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</si>
  <si>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</si>
  <si>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</si>
  <si>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</si>
  <si>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</si>
  <si>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</si>
  <si>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</si>
  <si>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</si>
  <si>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</si>
  <si>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</si>
  <si>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</si>
  <si>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</si>
  <si>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</si>
  <si>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</si>
  <si>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</si>
  <si>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</si>
  <si>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</si>
  <si>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</si>
  <si>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</si>
  <si>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</si>
  <si>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</si>
  <si>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</si>
  <si>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</si>
  <si>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</si>
  <si>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</si>
  <si>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</si>
  <si>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</si>
  <si>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</si>
  <si>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</si>
  <si>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</si>
  <si>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</si>
  <si>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</si>
  <si>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</si>
  <si>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</si>
  <si>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</si>
  <si>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</si>
  <si>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</si>
  <si>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</si>
  <si>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</si>
  <si>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</si>
  <si>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</si>
  <si>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</si>
  <si>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</si>
  <si>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</si>
  <si>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</si>
  <si>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</si>
  <si>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</si>
  <si>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</si>
  <si>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</si>
  <si>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</si>
  <si>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</si>
  <si>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</si>
  <si>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</si>
  <si>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</si>
  <si>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</si>
  <si>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</si>
  <si>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</si>
  <si>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</si>
  <si>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</si>
  <si>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</si>
  <si>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</si>
  <si>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</si>
  <si>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</si>
  <si>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</si>
  <si>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</si>
  <si>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</si>
  <si>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</si>
  <si>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</si>
  <si>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</si>
  <si>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</si>
  <si>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</si>
  <si>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</si>
  <si>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</si>
  <si>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</si>
  <si>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</si>
  <si>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</si>
  <si>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</si>
  <si>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</si>
  <si>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</si>
  <si>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</si>
  <si>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</si>
  <si>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</si>
  <si>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</si>
  <si>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</si>
  <si>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</si>
  <si>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</si>
  <si>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</si>
  <si>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</si>
  <si>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</si>
  <si>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</si>
  <si>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</si>
  <si>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</si>
  <si>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</si>
  <si>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</si>
  <si>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</si>
  <si>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</si>
  <si>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</si>
  <si>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</si>
  <si>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</si>
  <si>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</si>
  <si>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</si>
  <si>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</si>
  <si>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</si>
  <si>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</si>
  <si>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</si>
  <si>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</si>
  <si>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</si>
  <si>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</si>
  <si>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</si>
  <si>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</si>
  <si>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</si>
  <si>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</si>
  <si>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</si>
  <si>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</si>
  <si>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</si>
  <si>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</si>
  <si>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</si>
  <si>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</si>
  <si>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</si>
  <si>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</si>
  <si>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</si>
  <si>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</si>
  <si>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</si>
  <si>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</si>
  <si>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</si>
  <si>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</si>
  <si>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</si>
  <si>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</si>
  <si>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</si>
  <si>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</si>
  <si>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</si>
  <si>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</si>
  <si>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</si>
  <si>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</si>
  <si>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</si>
  <si>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</si>
  <si>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</si>
  <si>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</si>
  <si>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</si>
  <si>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</si>
  <si>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</si>
  <si>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</si>
  <si>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</si>
  <si>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</si>
  <si>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</si>
  <si>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</si>
  <si>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</si>
  <si>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</si>
  <si>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</si>
  <si>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</si>
  <si>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</si>
  <si>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</si>
  <si>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</si>
  <si>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</si>
  <si>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</si>
  <si>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</si>
  <si>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</si>
  <si>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</si>
  <si>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</si>
  <si>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</si>
  <si>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</si>
  <si>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</si>
  <si>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</si>
  <si>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</si>
  <si>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</si>
  <si>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</si>
  <si>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</si>
  <si>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</si>
  <si>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</si>
  <si>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</si>
  <si>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</si>
  <si>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</si>
  <si>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</si>
  <si>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</si>
  <si>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</si>
  <si>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</si>
  <si>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</si>
  <si>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</si>
  <si>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</si>
  <si>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</si>
  <si>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</si>
  <si>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</si>
  <si>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</si>
  <si>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</si>
  <si>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</si>
  <si>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</si>
  <si>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</si>
  <si>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</si>
  <si>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</si>
  <si>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</si>
  <si>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</si>
  <si>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</si>
  <si>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</si>
  <si>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</si>
  <si>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</si>
  <si>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</si>
  <si>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</si>
  <si>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</si>
  <si>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</si>
  <si>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</si>
  <si>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</si>
  <si>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</si>
  <si>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</si>
  <si>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</si>
  <si>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</si>
  <si>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</si>
  <si>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</si>
  <si>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</si>
  <si>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</si>
  <si>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</si>
  <si>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</si>
  <si>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</si>
  <si>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</si>
  <si>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</si>
  <si>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</si>
  <si>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</si>
  <si>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</si>
  <si>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</si>
  <si>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</si>
  <si>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</si>
  <si>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</si>
  <si>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</si>
  <si>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</si>
  <si>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</si>
  <si>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</si>
  <si>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</si>
  <si>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</si>
  <si>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</si>
  <si>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</si>
  <si>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</si>
  <si>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</si>
  <si>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</si>
  <si>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</si>
  <si>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</si>
  <si>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</si>
  <si>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</si>
  <si>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</si>
  <si>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</si>
  <si>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</si>
  <si>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</si>
  <si>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</si>
  <si>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</si>
  <si>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</si>
  <si>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</si>
  <si>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</si>
  <si>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</si>
  <si>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</si>
  <si>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</si>
  <si>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</si>
  <si>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</si>
  <si>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</si>
  <si>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</si>
  <si>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</si>
  <si>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</si>
  <si>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</si>
  <si>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</si>
  <si>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</si>
  <si>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</si>
  <si>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</si>
  <si>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</si>
  <si>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</si>
  <si>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</si>
  <si>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</si>
  <si>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</si>
  <si>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</si>
  <si>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</si>
  <si>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</si>
  <si>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</si>
  <si>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</si>
  <si>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</si>
  <si>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</si>
  <si>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</si>
  <si>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</si>
  <si>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</si>
  <si>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</si>
  <si>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</si>
  <si>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</si>
  <si>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</si>
  <si>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</si>
  <si>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</si>
  <si>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</si>
  <si>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</si>
  <si>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</si>
  <si>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</si>
  <si>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</si>
  <si>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</si>
  <si>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</si>
  <si>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</si>
  <si>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</si>
  <si>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</si>
  <si>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</si>
  <si>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</si>
  <si>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</si>
  <si>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</si>
  <si>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</si>
  <si>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</si>
  <si>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</si>
  <si>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</si>
  <si>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</si>
  <si>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</si>
  <si>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</si>
  <si>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</si>
  <si>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</si>
  <si>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</si>
  <si>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</si>
  <si>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</si>
  <si>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</si>
  <si>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</si>
  <si>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</si>
  <si>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</si>
  <si>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</si>
  <si>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</si>
  <si>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</si>
  <si>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</si>
  <si>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</si>
  <si>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</si>
  <si>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</si>
  <si>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</si>
  <si>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</si>
  <si>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</si>
  <si>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</si>
  <si>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</si>
  <si>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</si>
  <si>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</si>
  <si>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</si>
  <si>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</si>
  <si>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</si>
  <si>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</si>
  <si>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</si>
  <si>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</si>
  <si>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</si>
  <si>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</si>
  <si>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</si>
  <si>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</si>
  <si>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</si>
  <si>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</si>
  <si>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</si>
  <si>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</si>
  <si>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</si>
  <si>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</si>
  <si>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</si>
  <si>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</si>
  <si>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</si>
  <si>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</si>
  <si>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</si>
  <si>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</si>
  <si>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</si>
  <si>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</si>
  <si>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</si>
  <si>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</si>
  <si>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</si>
  <si>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</si>
  <si>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</si>
  <si>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</si>
  <si>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</si>
  <si>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</si>
  <si>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</si>
  <si>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</si>
  <si>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</si>
  <si>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</si>
  <si>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</si>
  <si>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</si>
  <si>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</si>
  <si>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</si>
  <si>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</si>
  <si>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</si>
  <si>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</si>
  <si>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</si>
  <si>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</si>
  <si>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</si>
  <si>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</si>
  <si>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</si>
  <si>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</si>
  <si>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</si>
  <si>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</si>
  <si>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</si>
  <si>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</si>
  <si>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</si>
  <si>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</si>
  <si>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</si>
  <si>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</si>
  <si>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</si>
  <si>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</si>
  <si>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</si>
  <si>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</si>
  <si>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</si>
  <si>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</si>
  <si>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</si>
  <si>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</si>
  <si>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</si>
  <si>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</si>
  <si>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</si>
  <si>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</si>
  <si>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</si>
  <si>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</si>
  <si>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</si>
  <si>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</si>
  <si>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</si>
  <si>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</si>
  <si>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</si>
  <si>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</si>
  <si>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</si>
  <si>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</si>
  <si>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</si>
  <si>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</si>
  <si>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</si>
  <si>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</si>
  <si>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</si>
  <si>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</si>
  <si>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</si>
  <si>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</si>
  <si>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</si>
  <si>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</si>
  <si>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</si>
  <si>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</si>
  <si>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</si>
  <si>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</si>
  <si>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</si>
  <si>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</si>
  <si>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</si>
  <si>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</si>
  <si>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</si>
  <si>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</si>
  <si>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</si>
  <si>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</si>
  <si>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</si>
  <si>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</si>
  <si>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</si>
  <si>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</si>
  <si>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</si>
  <si>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</si>
  <si>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</si>
  <si>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</si>
  <si>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</si>
  <si>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</si>
  <si>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</si>
  <si>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</si>
  <si>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</si>
  <si>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</si>
  <si>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</si>
  <si>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</si>
  <si>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</si>
  <si>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</si>
  <si>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</si>
  <si>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</si>
  <si>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</si>
  <si>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</si>
  <si>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</si>
  <si>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</si>
  <si>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</si>
  <si>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</si>
  <si>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</si>
  <si>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</si>
  <si>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</si>
  <si>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</si>
  <si>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</si>
  <si>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</si>
  <si>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</si>
  <si>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</si>
  <si>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</si>
  <si>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</si>
  <si>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</si>
  <si>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</si>
  <si>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</si>
  <si>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</si>
  <si>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</si>
  <si>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</si>
  <si>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</si>
  <si>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</si>
  <si>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</si>
  <si>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</si>
  <si>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</si>
  <si>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</si>
  <si>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</si>
  <si>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</si>
  <si>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</si>
  <si>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</si>
  <si>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</si>
  <si>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</si>
  <si>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</si>
  <si>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</si>
  <si>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</si>
  <si>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</si>
  <si>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</si>
  <si>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</si>
  <si>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</si>
  <si>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</si>
  <si>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</si>
  <si>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</si>
  <si>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</si>
  <si>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</si>
  <si>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</si>
  <si>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</si>
  <si>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</si>
  <si>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</si>
  <si>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</si>
  <si>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</si>
  <si>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</si>
  <si>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</si>
  <si>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</si>
  <si>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</si>
  <si>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</si>
  <si>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</si>
  <si>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</si>
  <si>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</si>
  <si>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</si>
  <si>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</si>
  <si>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</si>
  <si>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</si>
  <si>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</si>
  <si>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</si>
  <si>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</si>
  <si>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</si>
  <si>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</si>
  <si>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</si>
  <si>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</si>
  <si>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</si>
  <si>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</si>
  <si>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</si>
  <si>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</si>
  <si>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</si>
  <si>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</si>
  <si>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</si>
  <si>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</si>
  <si>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</si>
  <si>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</si>
  <si>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</si>
  <si>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</si>
  <si>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</si>
  <si>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</si>
  <si>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</si>
  <si>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</si>
  <si>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</si>
  <si>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</si>
  <si>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</si>
  <si>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</si>
  <si>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</si>
  <si>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</si>
  <si>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</si>
  <si>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</si>
  <si>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</si>
  <si>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</si>
  <si>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</si>
  <si>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</si>
  <si>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</si>
  <si>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</si>
  <si>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</si>
  <si>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</si>
  <si>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</si>
  <si>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</si>
  <si>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</si>
  <si>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</si>
  <si>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</si>
  <si>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</si>
  <si>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</si>
  <si>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</si>
  <si>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</si>
  <si>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</si>
  <si>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</si>
  <si>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</si>
  <si>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</si>
  <si>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</si>
  <si>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</si>
  <si>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</si>
  <si>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</si>
  <si>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</si>
  <si>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</si>
  <si>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</si>
  <si>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</si>
  <si>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</si>
  <si>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</si>
  <si>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</si>
  <si>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</si>
  <si>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</si>
  <si>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</si>
  <si>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</si>
  <si>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</si>
  <si>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</si>
  <si>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</si>
  <si>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</si>
  <si>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</si>
  <si>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</si>
  <si>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</si>
  <si>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</si>
  <si>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</si>
  <si>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</si>
  <si>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</si>
  <si>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</si>
  <si>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</si>
  <si>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</si>
  <si>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</si>
  <si>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</si>
  <si>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</si>
  <si>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</si>
  <si>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</si>
  <si>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</si>
  <si>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</si>
  <si>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</si>
  <si>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</si>
  <si>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</si>
  <si>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</si>
  <si>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</si>
  <si>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</si>
  <si>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</si>
  <si>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</si>
  <si>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</si>
  <si>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</si>
  <si>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</si>
  <si>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</si>
  <si>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</si>
  <si>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</si>
  <si>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</si>
  <si>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</si>
  <si>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</si>
  <si>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</si>
  <si>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</si>
  <si>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</si>
  <si>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</si>
  <si>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</si>
  <si>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</si>
  <si>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</si>
  <si>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</si>
  <si>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</si>
  <si>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</si>
  <si>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</si>
  <si>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</si>
  <si>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</si>
  <si>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</si>
  <si>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</si>
  <si>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</si>
  <si>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</si>
  <si>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</si>
  <si>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</si>
  <si>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</si>
  <si>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</si>
  <si>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</si>
  <si>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</si>
  <si>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</si>
  <si>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</si>
  <si>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</si>
  <si>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</si>
  <si>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</si>
  <si>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</si>
  <si>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</si>
  <si>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</si>
  <si>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</si>
  <si>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</si>
  <si>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</si>
  <si>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</si>
  <si>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</si>
  <si>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</si>
  <si>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</si>
  <si>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</si>
  <si>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</si>
  <si>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</si>
  <si>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</si>
  <si>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</si>
  <si>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</si>
  <si>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</si>
  <si>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</si>
  <si>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</si>
  <si>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</si>
  <si>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</si>
  <si>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</si>
  <si>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</si>
  <si>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</si>
  <si>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</si>
  <si>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</si>
  <si>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</si>
  <si>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</si>
  <si>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</si>
  <si>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</si>
  <si>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</si>
  <si>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</si>
  <si>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</si>
  <si>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</si>
  <si>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</si>
  <si>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</si>
  <si>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</si>
  <si>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</si>
  <si>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</si>
  <si>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</si>
  <si>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</si>
  <si>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</si>
  <si>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</si>
  <si>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</si>
  <si>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</si>
  <si>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</si>
  <si>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</si>
  <si>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</si>
  <si>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</si>
  <si>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</si>
  <si>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</si>
  <si>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</si>
  <si>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</si>
  <si>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</si>
  <si>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</si>
  <si>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</si>
  <si>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</si>
  <si>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</si>
  <si>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</si>
  <si>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</si>
  <si>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</si>
  <si>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</si>
  <si>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</si>
  <si>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</si>
  <si>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</si>
  <si>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</si>
  <si>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</si>
  <si>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</si>
  <si>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</si>
  <si>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</si>
  <si>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</si>
  <si>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</si>
  <si>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</si>
  <si>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</si>
  <si>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</si>
  <si>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</si>
  <si>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</si>
  <si>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</si>
  <si>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</si>
  <si>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</si>
  <si>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</si>
  <si>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</si>
  <si>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</si>
  <si>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</si>
  <si>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</si>
  <si>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</si>
  <si>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</si>
  <si>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</si>
  <si>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</si>
  <si>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</si>
  <si>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</si>
  <si>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</si>
  <si>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</si>
  <si>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</si>
  <si>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</si>
  <si>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</si>
  <si>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</si>
  <si>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</si>
  <si>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</si>
  <si>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</si>
  <si>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</si>
  <si>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</si>
  <si>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</si>
  <si>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</si>
  <si>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</si>
  <si>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</si>
  <si>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</si>
  <si>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</si>
  <si>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</si>
  <si>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</si>
  <si>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</si>
  <si>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</si>
  <si>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</si>
  <si>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</si>
  <si>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</si>
  <si>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</si>
  <si>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</si>
  <si>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</si>
  <si>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</si>
  <si>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</si>
  <si>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</si>
  <si>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</si>
  <si>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</si>
  <si>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</si>
  <si>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</si>
  <si>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</si>
  <si>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</si>
  <si>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</si>
  <si>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</si>
  <si>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</si>
  <si>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</si>
  <si>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</si>
  <si>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</si>
  <si>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</si>
  <si>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</si>
  <si>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</si>
  <si>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</si>
  <si>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</si>
  <si>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</si>
  <si>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</si>
  <si>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</si>
  <si>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</si>
  <si>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</si>
  <si>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</si>
  <si>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</si>
  <si>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</si>
  <si>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</si>
  <si>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</si>
  <si>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</si>
  <si>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</si>
  <si>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</si>
  <si>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</si>
  <si>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</si>
  <si>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</si>
  <si>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</si>
  <si>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</si>
  <si>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</si>
  <si>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</si>
  <si>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</si>
  <si>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</si>
  <si>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</si>
  <si>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</si>
  <si>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</si>
  <si>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</si>
  <si>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</si>
  <si>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</si>
  <si>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</si>
  <si>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</si>
  <si>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</si>
  <si>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</si>
  <si>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</si>
  <si>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</si>
  <si>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</si>
  <si>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</si>
  <si>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</si>
  <si>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</si>
  <si>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</si>
  <si>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</si>
  <si>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</si>
  <si>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</si>
  <si>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</si>
  <si>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</si>
  <si>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</si>
  <si>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</si>
  <si>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</si>
  <si>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</si>
  <si>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</si>
  <si>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</si>
  <si>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</si>
  <si>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</si>
  <si>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</si>
  <si>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</si>
  <si>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</si>
  <si>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</si>
  <si>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</si>
  <si>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</si>
  <si>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</si>
  <si>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</si>
  <si>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</si>
  <si>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</si>
  <si>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</si>
  <si>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</si>
  <si>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</si>
  <si>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</si>
  <si>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</si>
  <si>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</si>
  <si>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</si>
  <si>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</si>
  <si>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</si>
  <si>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</si>
  <si>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</si>
  <si>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</si>
  <si>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</si>
  <si>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</si>
  <si>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</si>
  <si>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</si>
  <si>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</si>
  <si>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</si>
  <si>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</si>
  <si>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</si>
  <si>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</si>
  <si>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</si>
  <si>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</si>
  <si>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</si>
  <si>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</si>
  <si>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</si>
  <si>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</si>
  <si>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</si>
  <si>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</si>
  <si>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</si>
  <si>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</si>
  <si>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</si>
  <si>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</si>
  <si>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</si>
  <si>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</si>
  <si>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</si>
  <si>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</si>
  <si>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</si>
  <si>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</si>
  <si>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</si>
  <si>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</si>
  <si>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</si>
  <si>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</si>
  <si>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</si>
  <si>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</si>
  <si>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</si>
  <si>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</si>
  <si>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</si>
  <si>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</si>
  <si>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</si>
  <si>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</si>
  <si>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</si>
  <si>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</si>
  <si>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</si>
  <si>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</si>
  <si>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</si>
  <si>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</si>
  <si>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</si>
  <si>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</si>
  <si>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</si>
  <si>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</si>
  <si>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</si>
  <si>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</si>
  <si>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</si>
  <si>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</si>
  <si>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</si>
  <si>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</si>
  <si>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</si>
  <si>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</si>
  <si>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</si>
  <si>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</si>
  <si>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</si>
  <si>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</si>
  <si>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</si>
  <si>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</si>
  <si>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</si>
  <si>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</si>
  <si>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</si>
  <si>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</si>
  <si>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</si>
  <si>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</si>
  <si>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</si>
  <si>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</si>
  <si>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</si>
  <si>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</si>
  <si>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</si>
  <si>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</si>
  <si>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</si>
  <si>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</si>
  <si>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</si>
  <si>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</si>
  <si>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</si>
  <si>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</si>
  <si>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</si>
  <si>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</si>
  <si>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</si>
  <si>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</si>
  <si>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</si>
  <si>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</si>
  <si>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</si>
  <si>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</si>
  <si>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</si>
  <si>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</si>
  <si>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</si>
  <si>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</si>
  <si>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</si>
  <si>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</si>
  <si>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</si>
  <si>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</si>
  <si>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</si>
  <si>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</si>
  <si>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</si>
  <si>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</si>
  <si>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</si>
  <si>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</si>
  <si>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</si>
  <si>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</si>
  <si>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</si>
  <si>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</si>
  <si>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</si>
  <si>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</si>
  <si>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</si>
  <si>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</si>
  <si>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</si>
  <si>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</si>
  <si>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</si>
  <si>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</si>
  <si>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</si>
  <si>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</si>
  <si>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</si>
  <si>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</si>
  <si>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</si>
  <si>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</si>
  <si>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</si>
  <si>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</si>
  <si>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</si>
  <si>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</si>
  <si>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</si>
  <si>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</si>
  <si>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</si>
  <si>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</si>
  <si>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</si>
  <si>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</si>
  <si>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</si>
  <si>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</si>
  <si>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</si>
  <si>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</si>
  <si>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</si>
  <si>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</si>
  <si>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</si>
  <si>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</si>
  <si>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</si>
  <si>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</si>
  <si>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</si>
  <si>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</si>
  <si>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</si>
  <si>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</si>
  <si>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</si>
  <si>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</si>
  <si>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</si>
  <si>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</si>
  <si>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</si>
  <si>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</si>
  <si>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</si>
  <si>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</si>
  <si>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</si>
  <si>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</si>
  <si>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</si>
  <si>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</si>
  <si>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</si>
  <si>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</si>
  <si>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</si>
  <si>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</si>
  <si>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</si>
  <si>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</si>
  <si>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</si>
  <si>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</si>
  <si>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</si>
  <si>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</si>
  <si>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</si>
  <si>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</si>
  <si>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</si>
  <si>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</si>
  <si>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</si>
  <si>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</si>
  <si>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</si>
  <si>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</si>
  <si>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</si>
  <si>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</si>
  <si>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</si>
  <si>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</si>
  <si>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</si>
  <si>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</si>
  <si>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</si>
  <si>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</si>
  <si>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</si>
  <si>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</si>
  <si>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</si>
  <si>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</si>
  <si>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</si>
  <si>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</si>
  <si>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</si>
  <si>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</si>
  <si>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</si>
  <si>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</si>
  <si>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</si>
  <si>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</si>
  <si>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</si>
  <si>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</si>
  <si>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</si>
  <si>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</si>
  <si>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</si>
  <si>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</si>
  <si>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</si>
  <si>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</si>
  <si>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</si>
  <si>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</si>
  <si>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</si>
  <si>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</si>
  <si>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</si>
  <si>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</si>
  <si>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</si>
  <si>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</si>
  <si>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</si>
  <si>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</si>
  <si>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</si>
  <si>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</si>
  <si>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</si>
  <si>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</si>
  <si>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</si>
  <si>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</si>
  <si>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</si>
  <si>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</si>
  <si>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</si>
  <si>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</si>
  <si>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</si>
  <si>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</si>
  <si>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</si>
  <si>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</si>
  <si>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</si>
  <si>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</si>
  <si>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</si>
  <si>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</si>
  <si>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</si>
  <si>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</si>
  <si>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</si>
  <si>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</si>
  <si>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</si>
  <si>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</si>
  <si>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</si>
  <si>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</si>
  <si>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</si>
  <si>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</si>
  <si>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</si>
  <si>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</si>
  <si>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</si>
  <si>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</si>
  <si>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</si>
  <si>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</si>
  <si>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</si>
  <si>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</si>
  <si>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</si>
  <si>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</si>
  <si>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</si>
  <si>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</si>
  <si>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</si>
  <si>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</si>
  <si>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</si>
  <si>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</si>
  <si>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</si>
  <si>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</si>
  <si>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</si>
  <si>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</si>
  <si>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</si>
  <si>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</si>
  <si>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</si>
  <si>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</si>
  <si>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</si>
  <si>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</si>
  <si>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</si>
  <si>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</si>
  <si>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</si>
  <si>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</si>
  <si>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</si>
  <si>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</si>
  <si>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</si>
  <si>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</si>
  <si>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</si>
  <si>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</si>
  <si>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</si>
  <si>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</si>
  <si>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</si>
  <si>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</si>
  <si>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</si>
  <si>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</si>
  <si>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</si>
  <si>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</si>
  <si>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</si>
  <si>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</si>
  <si>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</si>
  <si>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</si>
  <si>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</si>
  <si>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</si>
  <si>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</si>
  <si>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</si>
  <si>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</si>
  <si>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</si>
  <si>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</si>
  <si>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</si>
  <si>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</si>
  <si>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</si>
  <si>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</si>
  <si>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</si>
  <si>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</si>
  <si>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</si>
  <si>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</si>
  <si>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</si>
  <si>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</si>
  <si>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</si>
  <si>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</si>
  <si>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</si>
  <si>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</si>
  <si>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</si>
  <si>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</si>
  <si>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</si>
  <si>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</si>
  <si>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</si>
  <si>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</si>
  <si>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</si>
  <si>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</si>
  <si>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</si>
  <si>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</si>
  <si>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</si>
  <si>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</si>
  <si>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</si>
  <si>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</si>
  <si>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</si>
  <si>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</si>
  <si>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</si>
  <si>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</si>
  <si>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</si>
  <si>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</si>
  <si>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</si>
  <si>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</si>
  <si>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</si>
  <si>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</si>
  <si>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</si>
  <si>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</si>
  <si>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</si>
  <si>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</si>
  <si>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</si>
  <si>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</si>
  <si>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</si>
  <si>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</si>
  <si>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</si>
  <si>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</si>
  <si>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</si>
  <si>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</si>
  <si>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</si>
  <si>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</si>
  <si>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</si>
  <si>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</si>
  <si>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</si>
  <si>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</si>
  <si>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</si>
  <si>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</si>
  <si>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</si>
  <si>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</si>
  <si>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</si>
  <si>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</si>
  <si>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</si>
  <si>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</si>
  <si>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</si>
  <si>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</si>
  <si>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</si>
  <si>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</si>
  <si>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</si>
  <si>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</si>
  <si>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</si>
  <si>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</si>
  <si>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</si>
  <si>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</si>
  <si>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</si>
  <si>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</si>
  <si>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</si>
  <si>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</si>
  <si>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</si>
  <si>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</si>
  <si>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</si>
  <si>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</si>
  <si>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</si>
  <si>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</si>
  <si>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</si>
  <si>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</si>
  <si>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</si>
  <si>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</si>
  <si>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</si>
  <si>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</si>
  <si>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</si>
  <si>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</si>
  <si>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</si>
  <si>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</si>
  <si>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</si>
  <si>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</si>
  <si>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</si>
  <si>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</si>
  <si>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</si>
  <si>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</si>
  <si>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</si>
  <si>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</si>
  <si>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</si>
  <si>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</si>
  <si>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</si>
  <si>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</si>
  <si>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</si>
  <si>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</si>
  <si>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</si>
  <si>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</si>
  <si>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</si>
  <si>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</si>
  <si>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</si>
  <si>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</si>
  <si>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</si>
  <si>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</si>
  <si>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</si>
  <si>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</si>
  <si>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</si>
  <si>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</si>
  <si>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</si>
  <si>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</si>
  <si>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</si>
  <si>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</si>
  <si>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</si>
  <si>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</si>
  <si>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</si>
  <si>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</si>
  <si>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</si>
  <si>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</si>
  <si>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</si>
  <si>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</si>
  <si>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</si>
  <si>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</si>
  <si>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</si>
  <si>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</si>
  <si>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</si>
  <si>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</si>
  <si>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</si>
  <si>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</si>
  <si>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</si>
  <si>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</si>
  <si>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</si>
  <si>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</si>
  <si>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</si>
  <si>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</si>
  <si>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</si>
  <si>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</si>
  <si>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</si>
  <si>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</si>
  <si>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</si>
  <si>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</si>
  <si>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</si>
  <si>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</si>
  <si>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</si>
  <si>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</si>
  <si>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</si>
  <si>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</si>
  <si>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</si>
  <si>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</si>
  <si>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</si>
  <si>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</si>
  <si>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</si>
  <si>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</si>
  <si>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</si>
  <si>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</si>
  <si>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</si>
  <si>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</si>
  <si>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</si>
  <si>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</si>
  <si>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</si>
  <si>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</si>
  <si>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</si>
  <si>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</si>
  <si>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</si>
  <si>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</si>
  <si>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</si>
  <si>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</si>
  <si>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</si>
  <si>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</si>
  <si>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</si>
  <si>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</si>
  <si>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</si>
  <si>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</si>
  <si>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</si>
  <si>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</si>
  <si>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</si>
  <si>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</si>
  <si>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</si>
  <si>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</si>
  <si>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</si>
  <si>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</si>
  <si>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</si>
  <si>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</si>
  <si>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</si>
  <si>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</si>
  <si>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</si>
  <si>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</si>
  <si>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</si>
  <si>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</si>
  <si>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</si>
  <si>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</si>
  <si>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</si>
  <si>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</si>
  <si>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</si>
  <si>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</si>
  <si>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</si>
  <si>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</si>
  <si>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</si>
  <si>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</si>
  <si>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</si>
  <si>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</si>
  <si>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</si>
  <si>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</si>
  <si>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</si>
  <si>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</si>
  <si>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</si>
  <si>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</si>
  <si>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</si>
  <si>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</si>
  <si>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</si>
  <si>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</si>
  <si>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</si>
  <si>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</si>
  <si>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</si>
  <si>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</si>
  <si>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</si>
  <si>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</si>
  <si>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</si>
  <si>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</si>
  <si>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</si>
  <si>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</si>
  <si>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</si>
  <si>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</si>
  <si>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</si>
  <si>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</si>
  <si>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</si>
  <si>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</si>
  <si>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</si>
  <si>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</si>
  <si>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</si>
  <si>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</si>
  <si>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</si>
  <si>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</si>
  <si>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</si>
  <si>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</si>
  <si>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</si>
  <si>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</si>
  <si>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</si>
  <si>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</si>
  <si>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</si>
  <si>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</si>
  <si>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</si>
  <si>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</si>
  <si>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</si>
  <si>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</si>
  <si>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</si>
  <si>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</si>
  <si>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</si>
  <si>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</si>
  <si>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</si>
  <si>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</si>
  <si>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</si>
  <si>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</si>
  <si>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</si>
  <si>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</si>
  <si>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</si>
  <si>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</si>
  <si>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</si>
  <si>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</si>
  <si>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</si>
  <si>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</si>
  <si>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</si>
  <si>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</si>
  <si>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</si>
  <si>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</si>
  <si>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</si>
  <si>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</si>
  <si>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</si>
  <si>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</si>
  <si>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</si>
  <si>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</si>
  <si>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</si>
  <si>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</si>
  <si>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</si>
  <si>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</si>
  <si>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</si>
  <si>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</si>
  <si>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</si>
  <si>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</si>
  <si>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</si>
  <si>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</si>
  <si>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</si>
  <si>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</si>
  <si>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</si>
  <si>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</si>
  <si>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</si>
  <si>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</si>
  <si>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</si>
  <si>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</si>
  <si>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</si>
  <si>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</si>
  <si>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</si>
  <si>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</si>
  <si>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</si>
  <si>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</si>
  <si>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</si>
  <si>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</si>
  <si>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</si>
  <si>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</si>
  <si>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</si>
  <si>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</si>
  <si>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</si>
  <si>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</si>
  <si>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</si>
  <si>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</si>
  <si>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</si>
  <si>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</si>
  <si>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</si>
  <si>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</si>
  <si>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</si>
  <si>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</si>
  <si>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</si>
  <si>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</si>
  <si>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</si>
  <si>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</si>
  <si>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</si>
  <si>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</si>
  <si>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</si>
  <si>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</si>
  <si>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</si>
  <si>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</si>
  <si>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</si>
  <si>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</si>
  <si>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</si>
  <si>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</si>
  <si>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</si>
  <si>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</si>
  <si>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</si>
  <si>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</si>
  <si>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</si>
  <si>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</si>
  <si>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</si>
  <si>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</si>
  <si>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</si>
  <si>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</si>
  <si>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</si>
  <si>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</si>
  <si>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</si>
  <si>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</si>
  <si>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</si>
  <si>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</si>
  <si>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</si>
  <si>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</si>
  <si>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</si>
  <si>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</si>
  <si>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</si>
  <si>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</si>
  <si>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</si>
  <si>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</si>
  <si>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</si>
  <si>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</si>
  <si>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</si>
  <si>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</si>
  <si>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</si>
  <si>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</si>
  <si>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</si>
  <si>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</si>
  <si>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</si>
  <si>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</si>
  <si>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</si>
  <si>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</si>
  <si>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</si>
  <si>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</si>
  <si>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</si>
  <si>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</si>
  <si>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</si>
  <si>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</si>
  <si>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</si>
  <si>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</si>
  <si>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</si>
  <si>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</si>
  <si>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</si>
  <si>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</si>
  <si>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</si>
  <si>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</si>
  <si>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</si>
  <si>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</si>
  <si>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</si>
  <si>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</si>
  <si>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</si>
  <si>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</si>
  <si>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</si>
  <si>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</si>
  <si>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</si>
  <si>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</si>
  <si>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</si>
  <si>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</si>
  <si>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</si>
  <si>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</si>
  <si>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</si>
  <si>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</si>
  <si>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</si>
  <si>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</si>
  <si>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</si>
  <si>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</si>
  <si>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</si>
  <si>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</si>
  <si>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</si>
  <si>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</si>
  <si>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</si>
  <si>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</si>
  <si>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</si>
  <si>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</si>
  <si>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</si>
  <si>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</si>
  <si>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</si>
  <si>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</si>
  <si>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</si>
  <si>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</si>
  <si>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</si>
  <si>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</si>
  <si>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</si>
  <si>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</si>
  <si>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</si>
  <si>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</si>
  <si>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</si>
  <si>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</si>
  <si>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</si>
  <si>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</si>
  <si>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</si>
  <si>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</si>
  <si>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</si>
  <si>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</si>
  <si>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</si>
  <si>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</si>
  <si>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</si>
  <si>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</si>
  <si>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</si>
  <si>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</si>
  <si>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</si>
  <si>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</si>
  <si>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</si>
  <si>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</si>
  <si>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</si>
  <si>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</si>
  <si>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</si>
  <si>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</si>
  <si>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</si>
  <si>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</si>
  <si>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</si>
  <si>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</si>
  <si>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</si>
  <si>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</si>
  <si>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</si>
  <si>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</si>
  <si>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</si>
  <si>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</si>
  <si>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</si>
  <si>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</si>
  <si>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</si>
  <si>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</si>
  <si>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</si>
  <si>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</si>
  <si>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</si>
  <si>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</si>
  <si>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</si>
  <si>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</si>
  <si>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</si>
  <si>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</si>
  <si>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</si>
  <si>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</si>
  <si>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</si>
  <si>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</si>
  <si>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</si>
  <si>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</si>
  <si>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</si>
  <si>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</si>
  <si>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</si>
  <si>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</si>
  <si>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</si>
  <si>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</si>
  <si>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</si>
  <si>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</si>
  <si>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</si>
  <si>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</si>
  <si>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</si>
  <si>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</si>
  <si>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</si>
  <si>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</si>
  <si>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</si>
  <si>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</si>
  <si>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</si>
  <si>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</si>
  <si>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</si>
  <si>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</si>
  <si>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</si>
  <si>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</si>
  <si>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</si>
  <si>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</si>
  <si>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</si>
  <si>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</si>
  <si>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</si>
  <si>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</si>
  <si>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</si>
  <si>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</si>
  <si>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</si>
  <si>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</si>
  <si>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</si>
  <si>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</si>
  <si>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</si>
  <si>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</si>
  <si>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</si>
  <si>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</si>
  <si>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</si>
  <si>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</si>
  <si>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</si>
  <si>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</si>
  <si>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</si>
  <si>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</si>
  <si>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</si>
  <si>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</si>
  <si>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</si>
  <si>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</si>
  <si>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</si>
  <si>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</si>
  <si>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</si>
  <si>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</si>
  <si>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</si>
  <si>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</si>
  <si>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</si>
  <si>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</si>
  <si>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</si>
  <si>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</si>
  <si>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</si>
  <si>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</si>
  <si>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</si>
  <si>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</si>
  <si>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</si>
  <si>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</si>
  <si>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</si>
  <si>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</si>
  <si>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</si>
  <si>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</si>
  <si>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</si>
  <si>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</si>
  <si>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</si>
  <si>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</si>
  <si>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</si>
  <si>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</si>
  <si>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</si>
  <si>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</si>
  <si>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</si>
  <si>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</si>
  <si>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</si>
  <si>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</si>
  <si>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</si>
  <si>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</si>
  <si>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</si>
  <si>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</si>
  <si>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</si>
  <si>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</si>
  <si>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</si>
  <si>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</si>
  <si>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</si>
  <si>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</si>
  <si>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</si>
  <si>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</si>
  <si>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</si>
  <si>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</si>
  <si>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</si>
  <si>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</si>
  <si>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</si>
  <si>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</si>
  <si>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</si>
  <si>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</si>
  <si>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</si>
  <si>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</si>
  <si>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</si>
  <si>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</si>
  <si>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</si>
  <si>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</si>
  <si>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</si>
  <si>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</si>
  <si>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</si>
  <si>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</si>
  <si>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</si>
  <si>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</si>
  <si>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</si>
  <si>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</si>
  <si>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</si>
  <si>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</si>
  <si>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</si>
  <si>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</si>
  <si>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</si>
  <si>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</si>
  <si>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</si>
  <si>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</si>
  <si>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</si>
  <si>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</si>
  <si>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</si>
  <si>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</si>
  <si>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</si>
  <si>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</si>
  <si>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</si>
  <si>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</si>
  <si>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</si>
  <si>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</si>
  <si>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</si>
  <si>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</si>
  <si>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</si>
  <si>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</si>
  <si>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</si>
  <si>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</si>
  <si>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</si>
  <si>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</si>
  <si>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</si>
  <si>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</si>
  <si>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</si>
  <si>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</si>
  <si>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</si>
  <si>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</si>
  <si>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</si>
  <si>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</si>
  <si>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</si>
  <si>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</si>
  <si>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</si>
  <si>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</si>
  <si>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</si>
  <si>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</si>
  <si>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</si>
  <si>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</si>
  <si>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</si>
  <si>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</si>
  <si>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</si>
  <si>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</si>
  <si>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</si>
  <si>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</si>
  <si>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</si>
  <si>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</si>
  <si>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</si>
  <si>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</si>
  <si>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</si>
  <si>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</si>
  <si>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</si>
  <si>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</si>
  <si>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</si>
  <si>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</si>
  <si>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</si>
  <si>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</si>
  <si>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</si>
  <si>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</si>
  <si>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</si>
  <si>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</si>
  <si>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</si>
  <si>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</si>
  <si>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</si>
  <si>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</si>
  <si>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</si>
  <si>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</si>
  <si>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</si>
  <si>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</si>
  <si>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</si>
  <si>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</si>
  <si>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</si>
  <si>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</si>
  <si>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</si>
  <si>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</si>
  <si>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</si>
  <si>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</si>
  <si>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</si>
  <si>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</si>
  <si>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</si>
  <si>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</si>
  <si>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</si>
  <si>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</si>
  <si>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</si>
  <si>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</si>
  <si>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</si>
  <si>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</si>
  <si>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</si>
  <si>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</si>
  <si>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</si>
  <si>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</si>
  <si>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</si>
  <si>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</si>
  <si>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</si>
  <si>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</si>
  <si>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</si>
  <si>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</si>
  <si>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</si>
  <si>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</si>
  <si>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</si>
  <si>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</si>
  <si>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</si>
  <si>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</si>
  <si>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</si>
  <si>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</si>
  <si>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</si>
  <si>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</si>
  <si>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</si>
  <si>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</si>
  <si>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</si>
  <si>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</si>
  <si>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</si>
  <si>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</si>
  <si>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</si>
  <si>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</si>
  <si>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</si>
  <si>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</si>
  <si>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</si>
  <si>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</si>
  <si>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</si>
  <si>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</si>
  <si>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</si>
  <si>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</si>
  <si>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</si>
  <si>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</si>
  <si>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</si>
  <si>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</si>
  <si>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</si>
  <si>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</si>
  <si>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</si>
  <si>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</si>
  <si>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</si>
  <si>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</si>
  <si>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</si>
  <si>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</si>
  <si>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</si>
  <si>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</si>
  <si>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</si>
  <si>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</si>
  <si>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</si>
  <si>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</si>
  <si>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</si>
  <si>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</si>
  <si>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</si>
  <si>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</si>
  <si>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</si>
  <si>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</si>
  <si>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</si>
  <si>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</si>
  <si>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</si>
  <si>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</si>
  <si>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</si>
  <si>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</si>
  <si>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</si>
  <si>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</si>
  <si>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</si>
  <si>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</si>
  <si>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</si>
  <si>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</si>
  <si>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</si>
  <si>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</si>
  <si>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</si>
  <si>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</si>
  <si>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</si>
  <si>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</si>
  <si>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</si>
  <si>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</si>
  <si>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</si>
  <si>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</si>
  <si>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</si>
  <si>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</si>
  <si>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</si>
  <si>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</si>
  <si>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</si>
  <si>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</si>
  <si>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</si>
  <si>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</si>
  <si>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</si>
  <si>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</si>
  <si>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</si>
  <si>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</si>
  <si>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</si>
  <si>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</si>
  <si>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</si>
  <si>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</si>
  <si>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</si>
  <si>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</si>
  <si>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</si>
  <si>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</si>
  <si>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</si>
  <si>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</si>
  <si>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</si>
  <si>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</si>
  <si>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</si>
  <si>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</si>
  <si>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</si>
  <si>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</si>
  <si>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</si>
  <si>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</si>
  <si>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</si>
  <si>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</si>
  <si>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</si>
  <si>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</si>
  <si>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</si>
  <si>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</si>
  <si>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</si>
  <si>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</si>
  <si>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</si>
  <si>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</si>
  <si>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</si>
  <si>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</si>
  <si>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</si>
  <si>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</si>
  <si>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</si>
  <si>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</si>
  <si>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</si>
  <si>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</si>
  <si>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</si>
  <si>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</si>
  <si>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</si>
  <si>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</si>
  <si>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</si>
  <si>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</si>
  <si>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</si>
  <si>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</si>
  <si>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</si>
  <si>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</si>
  <si>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</si>
  <si>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</si>
  <si>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</si>
  <si>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</si>
  <si>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</si>
  <si>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</si>
  <si>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</si>
  <si>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</si>
  <si>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</si>
  <si>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</si>
  <si>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</si>
  <si>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</si>
  <si>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</si>
  <si>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</si>
  <si>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</si>
  <si>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</si>
  <si>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</si>
  <si>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</si>
  <si>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</si>
  <si>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</si>
  <si>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</si>
  <si>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</si>
  <si>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</si>
  <si>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</si>
  <si>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</si>
  <si>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</si>
  <si>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</si>
  <si>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</si>
  <si>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</si>
  <si>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</si>
  <si>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</si>
  <si>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</si>
  <si>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</si>
  <si>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</si>
  <si>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</si>
  <si>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</si>
  <si>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</si>
  <si>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</si>
  <si>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</si>
  <si>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</si>
  <si>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</si>
  <si>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</si>
  <si>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</si>
  <si>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</si>
  <si>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</si>
  <si>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</si>
  <si>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</si>
  <si>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</si>
  <si>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</si>
  <si>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</si>
  <si>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</si>
  <si>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</si>
  <si>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</si>
  <si>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</si>
  <si>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</si>
  <si>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</si>
  <si>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</si>
  <si>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</si>
  <si>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</si>
  <si>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</si>
  <si>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</si>
  <si>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</si>
  <si>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</si>
  <si>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</si>
  <si>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</si>
  <si>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</si>
  <si>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</si>
  <si>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</si>
  <si>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</si>
  <si>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</si>
  <si>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</si>
  <si>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</si>
  <si>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</si>
  <si>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</si>
  <si>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</si>
  <si>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</si>
  <si>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</si>
  <si>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</si>
  <si>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</si>
  <si>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</si>
  <si>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</si>
  <si>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</si>
  <si>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</si>
  <si>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</si>
  <si>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</si>
  <si>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</si>
  <si>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</si>
  <si>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</si>
  <si>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</si>
  <si>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</si>
  <si>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</si>
  <si>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</si>
  <si>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</si>
  <si>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</si>
  <si>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</si>
  <si>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</si>
  <si>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</si>
  <si>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</si>
  <si>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</si>
  <si>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</si>
  <si>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</si>
  <si>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</si>
  <si>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</si>
  <si>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</si>
  <si>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</si>
  <si>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</si>
  <si>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</si>
  <si>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</si>
  <si>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</si>
  <si>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</si>
  <si>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</si>
  <si>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</si>
  <si>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</si>
  <si>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</si>
  <si>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</si>
  <si>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</si>
  <si>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</si>
  <si>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</si>
  <si>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</si>
  <si>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</si>
  <si>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</si>
  <si>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</si>
  <si>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</si>
  <si>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</si>
  <si>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</si>
  <si>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</si>
  <si>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</si>
  <si>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</si>
  <si>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</si>
  <si>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</si>
  <si>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</si>
  <si>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</si>
  <si>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</si>
  <si>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</si>
  <si>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</si>
  <si>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</si>
  <si>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</si>
  <si>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</si>
  <si>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</si>
  <si>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</si>
  <si>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</si>
  <si>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</si>
  <si>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</si>
  <si>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</si>
  <si>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</si>
  <si>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</si>
  <si>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</si>
  <si>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</si>
  <si>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</si>
  <si>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</si>
  <si>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</si>
  <si>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</si>
  <si>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</si>
  <si>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</si>
  <si>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</si>
  <si>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</si>
  <si>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</si>
  <si>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</si>
  <si>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</si>
  <si>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</si>
  <si>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</si>
  <si>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</si>
  <si>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</si>
  <si>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</si>
  <si>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</si>
  <si>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</si>
  <si>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</si>
  <si>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</si>
  <si>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</si>
  <si>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</si>
  <si>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</si>
  <si>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</si>
  <si>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</si>
  <si>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</si>
  <si>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</si>
  <si>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</si>
  <si>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</si>
  <si>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</si>
  <si>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</si>
  <si>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</si>
  <si>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</si>
  <si>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</si>
  <si>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</si>
  <si>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</si>
  <si>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</si>
  <si>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</si>
  <si>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</si>
  <si>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</si>
  <si>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</si>
  <si>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</si>
  <si>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</si>
  <si>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</si>
  <si>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</si>
  <si>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</si>
  <si>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</si>
  <si>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</si>
  <si>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</si>
  <si>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</si>
  <si>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</si>
  <si>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</si>
  <si>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</si>
  <si>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</si>
  <si>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</si>
  <si>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</si>
  <si>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</si>
  <si>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</si>
  <si>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</si>
  <si>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</si>
  <si>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</si>
  <si>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</si>
  <si>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</si>
  <si>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</si>
  <si>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</si>
  <si>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</si>
  <si>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</si>
  <si>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</si>
  <si>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</si>
  <si>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</si>
  <si>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</si>
  <si>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</si>
  <si>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</si>
  <si>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</si>
  <si>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</si>
  <si>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</si>
  <si>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</si>
  <si>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</si>
  <si>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</si>
  <si>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</si>
  <si>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</si>
  <si>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</si>
  <si>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</si>
  <si>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</si>
  <si>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</si>
  <si>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</si>
  <si>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</si>
  <si>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</si>
  <si>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</si>
  <si>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</si>
  <si>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</si>
  <si>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</si>
  <si>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</si>
  <si>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</si>
  <si>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</si>
  <si>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</si>
  <si>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</si>
  <si>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</si>
  <si>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</si>
  <si>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</si>
  <si>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</si>
  <si>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</si>
  <si>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</si>
  <si>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</si>
  <si>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</si>
  <si>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</si>
  <si>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</si>
  <si>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</si>
  <si>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</si>
  <si>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</si>
  <si>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</si>
  <si>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</si>
  <si>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</si>
  <si>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</si>
  <si>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</si>
  <si>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</si>
  <si>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</si>
  <si>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</si>
  <si>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</si>
  <si>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</si>
  <si>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</si>
  <si>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</si>
  <si>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</si>
  <si>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</si>
  <si>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</si>
  <si>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</si>
  <si>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</si>
  <si>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</si>
  <si>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</si>
  <si>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</si>
  <si>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</si>
  <si>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</si>
  <si>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</si>
  <si>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</si>
  <si>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</si>
  <si>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</si>
  <si>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</si>
  <si>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</si>
  <si>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</si>
  <si>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</si>
  <si>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</si>
  <si>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</si>
  <si>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</si>
  <si>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</si>
  <si>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</si>
  <si>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</si>
  <si>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</si>
  <si>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</si>
  <si>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</si>
  <si>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</si>
  <si>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</si>
  <si>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</si>
  <si>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</si>
  <si>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</si>
  <si>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</si>
  <si>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</si>
  <si>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</si>
  <si>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</si>
  <si>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</si>
  <si>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</si>
  <si>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</si>
  <si>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</si>
  <si>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</si>
  <si>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</si>
  <si>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</si>
  <si>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</si>
  <si>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</si>
  <si>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</si>
  <si>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</si>
  <si>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</si>
  <si>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</si>
  <si>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</si>
  <si>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</si>
  <si>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</si>
  <si>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</si>
  <si>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</si>
  <si>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</si>
  <si>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</si>
  <si>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</si>
  <si>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</si>
  <si>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</si>
  <si>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</si>
  <si>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</si>
  <si>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</si>
  <si>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</si>
  <si>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</si>
  <si>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</si>
  <si>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</si>
  <si>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</si>
  <si>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</si>
  <si>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</si>
  <si>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</si>
  <si>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</si>
  <si>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</si>
  <si>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</si>
  <si>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</si>
  <si>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</si>
  <si>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</si>
  <si>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</si>
  <si>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</si>
  <si>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</si>
  <si>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</si>
  <si>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</si>
  <si>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</si>
  <si>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</si>
  <si>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</si>
  <si>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</si>
  <si>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</si>
  <si>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</si>
  <si>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</si>
  <si>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</si>
  <si>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</si>
  <si>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</si>
  <si>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</si>
  <si>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</si>
  <si>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</si>
  <si>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</si>
  <si>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</si>
  <si>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</si>
  <si>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</si>
  <si>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</si>
  <si>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</si>
  <si>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</si>
  <si>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</si>
  <si>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</si>
  <si>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</si>
  <si>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</si>
  <si>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</si>
  <si>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</si>
  <si>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</si>
  <si>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</si>
  <si>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</si>
  <si>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</si>
  <si>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</si>
  <si>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</si>
  <si>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</si>
  <si>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</si>
  <si>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</si>
  <si>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</si>
  <si>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</si>
  <si>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</si>
  <si>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</si>
  <si>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</si>
  <si>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</si>
  <si>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</si>
  <si>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</si>
  <si>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</si>
  <si>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</si>
  <si>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</si>
  <si>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</si>
  <si>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</si>
  <si>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</si>
  <si>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</si>
  <si>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</si>
  <si>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</si>
  <si>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</si>
  <si>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</si>
  <si>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</si>
  <si>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</si>
  <si>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</si>
  <si>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</si>
  <si>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</si>
  <si>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</si>
  <si>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</si>
  <si>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</si>
  <si>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</si>
  <si>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</si>
  <si>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</si>
  <si>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</si>
  <si>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</si>
  <si>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</si>
  <si>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</si>
  <si>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</si>
  <si>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</si>
  <si>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</si>
  <si>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</si>
  <si>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</si>
  <si>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</si>
  <si>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</si>
  <si>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</si>
  <si>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</si>
  <si>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</si>
  <si>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</si>
  <si>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</si>
  <si>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</si>
  <si>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</si>
  <si>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</si>
  <si>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</si>
  <si>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</si>
  <si>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</si>
  <si>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</si>
  <si>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</si>
  <si>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</si>
  <si>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</si>
  <si>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</si>
  <si>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</si>
  <si>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</si>
  <si>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</si>
  <si>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</si>
  <si>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</si>
  <si>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</si>
  <si>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</si>
  <si>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</si>
  <si>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</si>
  <si>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</si>
  <si>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</si>
  <si>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</si>
  <si>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</si>
  <si>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</si>
  <si>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</si>
  <si>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</si>
  <si>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</si>
  <si>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</si>
  <si>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</si>
  <si>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</si>
  <si>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</si>
  <si>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</si>
  <si>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</si>
  <si>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</si>
  <si>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</si>
  <si>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</si>
  <si>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</si>
  <si>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</si>
  <si>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</si>
  <si>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</si>
  <si>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</si>
  <si>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</si>
  <si>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</si>
  <si>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</si>
  <si>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</si>
  <si>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</si>
  <si>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</si>
  <si>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</si>
  <si>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</si>
  <si>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</si>
  <si>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</si>
  <si>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</si>
  <si>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</si>
  <si>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</si>
  <si>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</si>
  <si>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</si>
  <si>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</si>
  <si>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</si>
  <si>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</si>
  <si>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</si>
  <si>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</si>
  <si>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</si>
  <si>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</si>
  <si>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</si>
  <si>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</si>
  <si>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</si>
  <si>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</si>
  <si>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</si>
  <si>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</si>
  <si>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</si>
  <si>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</si>
  <si>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</si>
  <si>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</si>
  <si>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</si>
  <si>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</si>
  <si>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</si>
  <si>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</si>
  <si>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</si>
  <si>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</si>
  <si>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</si>
  <si>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</si>
  <si>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</si>
  <si>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</si>
  <si>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</si>
  <si>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</si>
  <si>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</si>
  <si>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</si>
  <si>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</si>
  <si>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</si>
  <si>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</si>
  <si>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</si>
  <si>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</si>
  <si>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</si>
  <si>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</si>
  <si>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</si>
  <si>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</si>
  <si>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</si>
  <si>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</si>
  <si>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</si>
  <si>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</si>
  <si>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</si>
  <si>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</si>
  <si>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</si>
  <si>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</si>
  <si>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</si>
  <si>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</si>
  <si>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</si>
  <si>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</si>
  <si>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</si>
  <si>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</si>
  <si>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</si>
  <si>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</si>
  <si>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</si>
  <si>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</si>
  <si>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</si>
  <si>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</si>
  <si>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</si>
  <si>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</si>
  <si>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</si>
  <si>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</si>
  <si>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</si>
  <si>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</si>
  <si>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</si>
  <si>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</si>
  <si>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</si>
  <si>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</si>
  <si>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</si>
  <si>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</si>
  <si>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</si>
  <si>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</si>
  <si>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</si>
  <si>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</si>
  <si>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</si>
  <si>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</si>
  <si>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</si>
  <si>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</si>
  <si>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</si>
  <si>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</si>
  <si>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</si>
  <si>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</si>
  <si>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</si>
  <si>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</si>
  <si>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</si>
  <si>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</si>
  <si>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</si>
  <si>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</si>
  <si>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</si>
  <si>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</si>
  <si>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</si>
  <si>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</si>
  <si>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</si>
  <si>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</si>
  <si>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</si>
  <si>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</si>
  <si>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</si>
  <si>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</si>
  <si>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</si>
  <si>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</si>
  <si>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</si>
  <si>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</si>
  <si>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</si>
  <si>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</si>
  <si>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</si>
  <si>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</si>
  <si>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</si>
  <si>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</si>
  <si>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</si>
  <si>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</si>
  <si>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</si>
  <si>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</si>
  <si>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</si>
  <si>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</si>
  <si>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</si>
  <si>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</si>
  <si>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</si>
  <si>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</si>
  <si>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</si>
  <si>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</si>
  <si>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</si>
  <si>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</si>
  <si>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</si>
  <si>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</si>
  <si>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</si>
  <si>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</si>
  <si>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</si>
  <si>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</si>
  <si>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</si>
  <si>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</si>
  <si>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</si>
  <si>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</si>
  <si>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</si>
  <si>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</si>
  <si>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</si>
  <si>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</si>
  <si>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</si>
  <si>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</si>
  <si>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</si>
  <si>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</si>
  <si>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</si>
  <si>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</si>
  <si>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</si>
  <si>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</si>
  <si>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</si>
  <si>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</si>
  <si>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</si>
  <si>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</si>
  <si>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</si>
  <si>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</si>
  <si>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</si>
  <si>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</si>
  <si>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</si>
  <si>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</si>
  <si>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</si>
  <si>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</si>
  <si>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</si>
  <si>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</si>
  <si>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</si>
  <si>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</si>
  <si>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</si>
  <si>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</si>
  <si>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</si>
  <si>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</si>
  <si>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</si>
  <si>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</si>
  <si>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</si>
  <si>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</si>
  <si>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</si>
  <si>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</si>
  <si>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</si>
  <si>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</si>
  <si>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</si>
  <si>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</si>
  <si>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</si>
  <si>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</si>
  <si>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</si>
  <si>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</si>
  <si>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</si>
  <si>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</si>
  <si>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</si>
  <si>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</si>
  <si>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</si>
  <si>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</si>
  <si>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</si>
  <si>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</si>
  <si>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</si>
  <si>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</si>
  <si>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</si>
  <si>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</si>
  <si>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</si>
  <si>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</si>
  <si>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</si>
  <si>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</si>
  <si>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</si>
  <si>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</si>
  <si>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</si>
  <si>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</si>
  <si>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</si>
  <si>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</si>
  <si>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</si>
  <si>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</si>
  <si>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</si>
  <si>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</si>
  <si>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</si>
  <si>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</si>
  <si>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</si>
  <si>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</si>
  <si>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</si>
  <si>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</si>
  <si>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</si>
  <si>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</si>
  <si>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</si>
  <si>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</si>
  <si>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</si>
  <si>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</si>
  <si>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</si>
  <si>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</si>
  <si>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</si>
  <si>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</si>
  <si>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</si>
  <si>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</si>
  <si>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</si>
  <si>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</si>
  <si>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</si>
  <si>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</si>
  <si>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</si>
  <si>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</si>
  <si>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</si>
  <si>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</si>
  <si>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</si>
  <si>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</si>
  <si>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</si>
  <si>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</si>
  <si>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</si>
  <si>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</si>
  <si>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</si>
  <si>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</si>
  <si>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</si>
  <si>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</si>
  <si>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</si>
  <si>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</si>
  <si>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</si>
  <si>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</si>
  <si>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</si>
  <si>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</si>
  <si>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</si>
  <si>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</si>
  <si>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</si>
  <si>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</si>
  <si>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</si>
  <si>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</si>
  <si>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</si>
  <si>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</si>
  <si>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</si>
  <si>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</si>
  <si>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</si>
  <si>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</si>
  <si>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</si>
  <si>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</si>
  <si>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</si>
  <si>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</si>
  <si>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</si>
  <si>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</si>
  <si>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</si>
  <si>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</si>
  <si>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</si>
  <si>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</si>
  <si>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</si>
  <si>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</si>
  <si>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</si>
  <si>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</si>
  <si>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</si>
  <si>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</si>
  <si>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</si>
  <si>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</si>
  <si>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</si>
  <si>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</si>
  <si>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</si>
  <si>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</si>
  <si>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</si>
  <si>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</si>
  <si>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</si>
  <si>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</si>
  <si>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</si>
  <si>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</si>
  <si>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</si>
  <si>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</si>
  <si>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</si>
  <si>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</si>
  <si>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</si>
  <si>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</si>
  <si>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</si>
  <si>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</si>
  <si>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</si>
  <si>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</si>
  <si>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</si>
  <si>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</si>
  <si>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</si>
  <si>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</si>
  <si>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</si>
  <si>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</si>
  <si>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</si>
  <si>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</si>
  <si>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</si>
  <si>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</si>
  <si>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</si>
  <si>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</si>
  <si>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</si>
  <si>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</si>
  <si>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</si>
  <si>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</si>
  <si>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</si>
  <si>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</si>
  <si>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</si>
  <si>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</si>
  <si>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</si>
  <si>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</si>
  <si>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</si>
  <si>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</si>
  <si>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</si>
  <si>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</si>
  <si>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</si>
  <si>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</si>
  <si>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</si>
  <si>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</si>
  <si>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</si>
  <si>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</si>
  <si>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</si>
  <si>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</si>
  <si>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</si>
  <si>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</si>
  <si>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</si>
  <si>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</si>
  <si>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</si>
  <si>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</si>
  <si>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</si>
  <si>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</si>
  <si>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</si>
  <si>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</si>
  <si>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</si>
  <si>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</si>
  <si>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</si>
  <si>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</si>
  <si>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</si>
  <si>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</si>
  <si>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</si>
  <si>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</si>
  <si>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</si>
  <si>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</si>
  <si>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</si>
  <si>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</si>
  <si>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</si>
  <si>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</si>
  <si>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</si>
  <si>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</si>
  <si>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</si>
  <si>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</si>
  <si>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</si>
  <si>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</si>
  <si>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</si>
  <si>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</si>
  <si>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</si>
  <si>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</si>
  <si>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</si>
  <si>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</si>
  <si>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</si>
  <si>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</si>
  <si>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</si>
  <si>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</si>
  <si>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</si>
  <si>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</si>
  <si>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</si>
  <si>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</si>
  <si>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</si>
  <si>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</si>
  <si>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</si>
  <si>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</si>
  <si>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</si>
  <si>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</si>
  <si>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</si>
  <si>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</si>
  <si>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</si>
  <si>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</si>
  <si>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</si>
  <si>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</si>
  <si>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</si>
  <si>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</si>
  <si>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</si>
  <si>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</si>
  <si>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</si>
  <si>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</si>
  <si>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</si>
  <si>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</si>
  <si>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</si>
  <si>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</si>
  <si>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</si>
  <si>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</si>
  <si>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</si>
  <si>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</si>
  <si>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</si>
  <si>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</si>
  <si>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</si>
  <si>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</si>
  <si>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</si>
  <si>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</si>
  <si>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</si>
  <si>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</si>
  <si>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</si>
  <si>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</si>
  <si>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</si>
  <si>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</si>
  <si>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</si>
  <si>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</si>
  <si>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</si>
  <si>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</si>
  <si>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</si>
  <si>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</si>
  <si>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</si>
  <si>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</si>
  <si>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</si>
  <si>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</si>
  <si>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</si>
  <si>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</si>
  <si>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</si>
  <si>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</si>
  <si>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</si>
  <si>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</si>
  <si>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</si>
  <si>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</si>
  <si>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</si>
  <si>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</si>
  <si>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</si>
  <si>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</si>
  <si>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</si>
  <si>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</si>
  <si>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</si>
  <si>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</si>
  <si>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</si>
  <si>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</si>
  <si>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</si>
  <si>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</si>
  <si>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</si>
  <si>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</si>
  <si>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</si>
  <si>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</si>
  <si>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</si>
  <si>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</si>
  <si>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</si>
  <si>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</si>
  <si>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</si>
  <si>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</si>
  <si>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</si>
  <si>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</si>
  <si>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</si>
  <si>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</si>
  <si>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</si>
  <si>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</si>
  <si>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</si>
  <si>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</si>
  <si>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</si>
  <si>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</si>
  <si>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</si>
  <si>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</si>
  <si>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</si>
  <si>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</si>
  <si>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</si>
  <si>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</si>
  <si>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</si>
  <si>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</si>
  <si>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</si>
  <si>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</si>
  <si>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</si>
  <si>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</si>
  <si>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</si>
  <si>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</si>
  <si>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</si>
  <si>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</si>
  <si>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</si>
  <si>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</si>
  <si>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</si>
  <si>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</si>
  <si>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</si>
  <si>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</si>
  <si>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</si>
  <si>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</si>
  <si>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</si>
  <si>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</si>
  <si>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</si>
  <si>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</si>
  <si>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</si>
  <si>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</si>
  <si>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</si>
  <si>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</si>
  <si>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</si>
  <si>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</si>
  <si>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</si>
  <si>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</si>
  <si>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</si>
  <si>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</si>
  <si>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</si>
  <si>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</si>
  <si>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</si>
  <si>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</si>
  <si>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</si>
  <si>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</si>
  <si>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</si>
  <si>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</si>
  <si>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</si>
  <si>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</si>
  <si>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</si>
  <si>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</si>
  <si>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</si>
  <si>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</si>
  <si>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</si>
  <si>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</si>
  <si>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</si>
  <si>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</si>
  <si>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</si>
  <si>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</si>
  <si>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</si>
  <si>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</si>
  <si>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</si>
  <si>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</si>
  <si>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</si>
  <si>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</si>
  <si>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</si>
  <si>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</si>
  <si>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</si>
  <si>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</si>
  <si>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</si>
  <si>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</si>
  <si>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</si>
  <si>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</si>
  <si>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</si>
  <si>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</si>
  <si>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</si>
  <si>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</si>
  <si>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</si>
  <si>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</si>
  <si>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</si>
  <si>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</si>
  <si>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</si>
  <si>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</si>
  <si>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</si>
  <si>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</si>
  <si>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</si>
  <si>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</si>
  <si>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</si>
  <si>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</si>
  <si>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</si>
  <si>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</si>
  <si>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</si>
  <si>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</si>
  <si>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</si>
  <si>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</si>
  <si>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</si>
  <si>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</si>
  <si>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</si>
  <si>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</si>
  <si>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</si>
  <si>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</si>
  <si>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</si>
  <si>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</si>
  <si>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</si>
  <si>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</si>
  <si>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</si>
  <si>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</si>
  <si>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</si>
  <si>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</si>
  <si>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</si>
  <si>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</si>
  <si>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</si>
  <si>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</si>
  <si>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</si>
  <si>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</si>
  <si>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</si>
  <si>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</si>
  <si>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</si>
  <si>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</si>
  <si>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</si>
  <si>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</si>
  <si>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</si>
  <si>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</si>
  <si>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</si>
  <si>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</si>
  <si>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</si>
  <si>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</si>
  <si>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</si>
  <si>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</si>
  <si>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</si>
  <si>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</si>
  <si>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</si>
  <si>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</si>
  <si>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</si>
  <si>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</si>
  <si>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</si>
  <si>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</si>
  <si>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</si>
  <si>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</si>
  <si>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</si>
  <si>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</si>
  <si>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</si>
  <si>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</si>
  <si>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</si>
  <si>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</si>
  <si>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</si>
  <si>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</si>
  <si>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</si>
  <si>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</si>
  <si>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</si>
  <si>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</si>
  <si>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</si>
  <si>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</si>
  <si>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</si>
  <si>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</si>
  <si>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</si>
  <si>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</si>
  <si>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</si>
  <si>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</si>
  <si>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</si>
  <si>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</si>
  <si>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</si>
  <si>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</si>
  <si>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</si>
  <si>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</si>
  <si>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</si>
  <si>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</si>
  <si>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</si>
  <si>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</si>
  <si>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</si>
  <si>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</si>
  <si>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</si>
  <si>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</si>
  <si>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</si>
  <si>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</si>
  <si>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</si>
  <si>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</si>
  <si>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</si>
  <si>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</si>
  <si>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</si>
  <si>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</si>
  <si>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</si>
  <si>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</si>
  <si>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</si>
  <si>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</si>
  <si>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</si>
  <si>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</si>
  <si>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</si>
  <si>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</si>
  <si>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</si>
  <si>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</si>
  <si>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</si>
  <si>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</si>
  <si>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</si>
  <si>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</si>
  <si>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</si>
  <si>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</si>
  <si>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</si>
  <si>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</si>
  <si>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</si>
  <si>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</si>
  <si>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</si>
  <si>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</si>
  <si>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</si>
  <si>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</si>
  <si>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</si>
  <si>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</si>
  <si>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</si>
  <si>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</si>
  <si>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</si>
  <si>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</si>
  <si>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</si>
  <si>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</si>
  <si>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</si>
  <si>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</si>
  <si>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</si>
  <si>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</si>
  <si>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</si>
  <si>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</si>
  <si>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</si>
  <si>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</si>
  <si>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</si>
  <si>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</si>
  <si>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</si>
  <si>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</si>
  <si>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</si>
  <si>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</si>
  <si>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</si>
  <si>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</si>
  <si>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</si>
  <si>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</si>
  <si>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</si>
  <si>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</si>
  <si>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</si>
  <si>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</si>
  <si>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</si>
  <si>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</si>
  <si>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</si>
  <si>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</si>
  <si>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</si>
  <si>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</si>
  <si>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</si>
  <si>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</si>
  <si>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</si>
  <si>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</si>
  <si>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</si>
  <si>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</si>
  <si>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</si>
  <si>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</si>
  <si>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</si>
  <si>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</si>
  <si>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</si>
  <si>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</si>
  <si>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</si>
  <si>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</si>
  <si>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</si>
  <si>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</si>
  <si>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</si>
  <si>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</si>
  <si>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</si>
  <si>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</si>
  <si>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</si>
  <si>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</si>
  <si>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</si>
  <si>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</si>
  <si>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</si>
  <si>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</si>
  <si>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</si>
  <si>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</si>
  <si>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</si>
  <si>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</si>
  <si>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</si>
  <si>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</si>
  <si>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</si>
  <si>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</si>
  <si>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</si>
  <si>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</si>
  <si>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</si>
  <si>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</si>
  <si>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</si>
  <si>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</si>
  <si>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</si>
  <si>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</si>
  <si>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</si>
  <si>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</si>
  <si>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</si>
  <si>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</si>
  <si>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</si>
  <si>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</si>
  <si>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</si>
  <si>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</si>
  <si>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</si>
  <si>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</si>
  <si>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</si>
  <si>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</si>
  <si>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</si>
  <si>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</si>
  <si>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</si>
  <si>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</si>
  <si>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</si>
  <si>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</si>
  <si>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</si>
  <si>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</si>
  <si>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</si>
  <si>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</si>
  <si>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</si>
  <si>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</si>
  <si>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</si>
  <si>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</si>
  <si>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</si>
  <si>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</si>
  <si>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</si>
  <si>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</si>
  <si>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</si>
  <si>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</si>
  <si>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</si>
  <si>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</si>
  <si>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</si>
  <si>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</si>
  <si>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</si>
  <si>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</si>
  <si>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</si>
  <si>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</si>
  <si>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</si>
  <si>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</si>
  <si>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</si>
  <si>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</si>
  <si>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</si>
  <si>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</si>
  <si>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</si>
  <si>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</si>
  <si>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</si>
  <si>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</si>
  <si>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</si>
  <si>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</si>
  <si>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</si>
  <si>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</si>
  <si>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</si>
  <si>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</si>
  <si>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</si>
  <si>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</si>
  <si>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</si>
  <si>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</si>
  <si>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</si>
  <si>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</si>
  <si>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</si>
  <si>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</si>
  <si>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</si>
  <si>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</si>
  <si>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</si>
  <si>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</si>
  <si>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</si>
  <si>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</si>
  <si>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</si>
  <si>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</si>
  <si>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</si>
  <si>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</si>
  <si>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</si>
  <si>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</si>
  <si>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</si>
  <si>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</si>
  <si>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</si>
  <si>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</si>
  <si>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</si>
  <si>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</si>
  <si>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</si>
  <si>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</si>
  <si>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</si>
  <si>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</si>
  <si>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</si>
  <si>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</si>
  <si>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</si>
  <si>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</si>
  <si>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</si>
  <si>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</si>
  <si>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</si>
  <si>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</si>
  <si>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</si>
  <si>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</si>
  <si>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</si>
  <si>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</si>
  <si>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</si>
  <si>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</si>
  <si>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</si>
  <si>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</si>
  <si>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</si>
  <si>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</si>
  <si>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</si>
  <si>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</si>
  <si>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</si>
  <si>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</si>
  <si>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</si>
  <si>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</si>
  <si>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</si>
  <si>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</si>
  <si>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</si>
  <si>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</si>
  <si>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</si>
  <si>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</si>
  <si>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</si>
  <si>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</si>
  <si>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</si>
  <si>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</si>
  <si>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</si>
  <si>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</si>
  <si>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</si>
  <si>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</si>
  <si>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</si>
  <si>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</si>
  <si>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</si>
  <si>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</si>
  <si>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</si>
  <si>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</si>
  <si>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</si>
  <si>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</si>
  <si>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</si>
  <si>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</si>
  <si>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</si>
  <si>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</si>
  <si>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</si>
  <si>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</si>
  <si>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</si>
  <si>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</si>
  <si>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</si>
  <si>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</si>
  <si>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</si>
  <si>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</si>
  <si>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</si>
  <si>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</si>
  <si>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</si>
  <si>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</si>
  <si>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</si>
  <si>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</si>
  <si>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</si>
  <si>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</si>
  <si>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</si>
  <si>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</si>
  <si>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</si>
  <si>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</si>
  <si>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</si>
  <si>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</si>
  <si>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</si>
  <si>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</si>
  <si>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</si>
  <si>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</si>
  <si>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</si>
  <si>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</si>
  <si>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</si>
  <si>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</si>
  <si>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</si>
  <si>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</si>
  <si>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</si>
  <si>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</si>
  <si>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</si>
  <si>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</si>
  <si>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</si>
  <si>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</si>
  <si>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</si>
  <si>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</si>
  <si>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</si>
  <si>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</si>
  <si>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</si>
  <si>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</si>
  <si>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</si>
  <si>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</si>
  <si>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</si>
  <si>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</si>
  <si>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</si>
  <si>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</si>
  <si>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</si>
  <si>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</si>
  <si>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</si>
  <si>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</si>
  <si>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</si>
  <si>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</si>
  <si>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</si>
  <si>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</si>
  <si>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</si>
  <si>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</si>
  <si>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</si>
  <si>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</si>
  <si>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</si>
  <si>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</si>
  <si>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</si>
  <si>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</si>
  <si>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</si>
  <si>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</si>
  <si>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</si>
  <si>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</si>
  <si>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</si>
  <si>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</si>
  <si>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</si>
  <si>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</si>
  <si>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</si>
  <si>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</si>
  <si>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</si>
  <si>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</si>
  <si>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</si>
  <si>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</si>
  <si>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</si>
  <si>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</si>
  <si>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</si>
  <si>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</si>
  <si>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</si>
  <si>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</si>
  <si>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</si>
  <si>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</si>
  <si>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</si>
  <si>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</si>
  <si>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</si>
  <si>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</si>
  <si>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</si>
  <si>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</si>
  <si>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</si>
  <si>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</si>
  <si>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</si>
  <si>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</si>
  <si>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</si>
  <si>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</si>
  <si>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</si>
  <si>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</si>
  <si>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</si>
  <si>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</si>
  <si>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</si>
  <si>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</si>
  <si>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</si>
  <si>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</si>
  <si>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</si>
  <si>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</si>
  <si>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</si>
  <si>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</si>
  <si>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</si>
  <si>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</si>
  <si>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</si>
  <si>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</si>
  <si>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</si>
  <si>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</si>
  <si>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</si>
  <si>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</si>
  <si>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</si>
  <si>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</si>
  <si>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</si>
  <si>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</si>
  <si>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</si>
  <si>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</si>
  <si>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</si>
  <si>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</si>
  <si>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</si>
  <si>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</si>
  <si>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</si>
  <si>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</si>
  <si>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</si>
  <si>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</si>
  <si>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</si>
  <si>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</si>
  <si>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</si>
  <si>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</si>
  <si>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</si>
  <si>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</si>
  <si>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</si>
  <si>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</si>
  <si>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</si>
  <si>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</si>
  <si>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</si>
  <si>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</si>
  <si>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</si>
  <si>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</si>
  <si>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</si>
  <si>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</si>
  <si>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</si>
  <si>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</si>
  <si>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</si>
  <si>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</si>
  <si>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</si>
  <si>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</si>
  <si>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</si>
  <si>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</si>
  <si>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</si>
  <si>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</si>
  <si>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</si>
  <si>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</si>
  <si>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</si>
  <si>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</si>
  <si>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</si>
  <si>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</si>
  <si>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</si>
  <si>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</si>
  <si>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</si>
  <si>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</si>
  <si>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</si>
  <si>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</si>
  <si>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</si>
  <si>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</si>
  <si>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</si>
  <si>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</si>
  <si>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</si>
  <si>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</si>
  <si>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</si>
  <si>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</si>
  <si>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</si>
  <si>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</si>
  <si>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</si>
  <si>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</si>
  <si>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</si>
  <si>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</si>
  <si>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</si>
  <si>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</si>
  <si>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</si>
  <si>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</si>
  <si>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</si>
  <si>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</si>
  <si>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</si>
  <si>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</si>
  <si>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</si>
  <si>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</si>
  <si>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</si>
  <si>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</si>
  <si>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</si>
  <si>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</si>
  <si>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</si>
  <si>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</si>
  <si>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</si>
  <si>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</si>
  <si>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</si>
  <si>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</si>
  <si>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</si>
  <si>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</si>
  <si>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</si>
  <si>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</si>
  <si>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</si>
  <si>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</si>
  <si>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</si>
  <si>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</si>
  <si>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</si>
  <si>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</si>
  <si>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</si>
  <si>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</si>
  <si>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</si>
  <si>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</si>
  <si>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</si>
  <si>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</si>
  <si>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</si>
  <si>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</si>
  <si>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</si>
  <si>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</si>
  <si>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</si>
  <si>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</si>
  <si>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</si>
  <si>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</si>
  <si>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</si>
  <si>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</si>
  <si>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</si>
  <si>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</si>
  <si>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</si>
  <si>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</si>
  <si>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</si>
  <si>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</si>
  <si>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</si>
  <si>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</si>
  <si>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</si>
  <si>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</si>
  <si>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</si>
  <si>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</si>
  <si>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</si>
  <si>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</si>
  <si>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</si>
  <si>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</si>
  <si>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</si>
  <si>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</si>
  <si>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</si>
  <si>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</si>
  <si>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</si>
  <si>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</si>
  <si>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</si>
  <si>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</si>
  <si>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</si>
  <si>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</si>
  <si>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</si>
  <si>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</si>
  <si>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</si>
  <si>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</si>
  <si>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</si>
  <si>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</si>
  <si>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</si>
  <si>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</si>
  <si>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</si>
  <si>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</si>
  <si>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</si>
  <si>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</si>
  <si>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</si>
  <si>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</si>
  <si>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</si>
  <si>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</si>
  <si>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</si>
  <si>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</si>
  <si>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</si>
  <si>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</si>
  <si>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</si>
  <si>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</si>
  <si>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</si>
  <si>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</si>
  <si>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</si>
  <si>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</si>
  <si>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</si>
  <si>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</si>
  <si>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</si>
  <si>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</si>
  <si>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</si>
  <si>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</si>
  <si>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</si>
  <si>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</si>
  <si>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</si>
  <si>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</si>
  <si>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</si>
  <si>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</si>
  <si>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</si>
  <si>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</si>
  <si>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</si>
  <si>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</si>
  <si>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</si>
  <si>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</si>
  <si>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</si>
  <si>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</si>
  <si>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</si>
  <si>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</si>
  <si>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</si>
  <si>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</si>
  <si>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</si>
  <si>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</si>
  <si>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</si>
  <si>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</si>
  <si>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</si>
  <si>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</si>
  <si>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</si>
  <si>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</si>
  <si>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</si>
  <si>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</si>
  <si>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</si>
  <si>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</si>
  <si>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</si>
  <si>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</si>
  <si>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</si>
  <si>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</si>
  <si>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</si>
  <si>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</si>
  <si>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</si>
  <si>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</si>
  <si>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</si>
  <si>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</si>
  <si>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</si>
  <si>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</si>
  <si>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</si>
  <si>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</si>
  <si>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</si>
  <si>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</si>
  <si>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</si>
  <si>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</si>
  <si>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</si>
  <si>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</si>
  <si>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</si>
  <si>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</si>
  <si>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</si>
  <si>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</si>
  <si>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</si>
  <si>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</si>
  <si>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</si>
  <si>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</si>
  <si>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</si>
  <si>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</si>
  <si>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</si>
  <si>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</si>
  <si>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</si>
  <si>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</si>
  <si>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</si>
  <si>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</si>
  <si>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</si>
  <si>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</si>
  <si>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</si>
  <si>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</si>
  <si>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</si>
  <si>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</si>
  <si>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</si>
  <si>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</si>
  <si>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</si>
  <si>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</si>
  <si>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</si>
  <si>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</si>
  <si>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</si>
  <si>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</si>
  <si>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</si>
  <si>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</si>
  <si>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</si>
  <si>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</si>
  <si>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</si>
  <si>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</si>
  <si>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</si>
  <si>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</si>
  <si>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</si>
  <si>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</si>
  <si>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</si>
  <si>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</si>
  <si>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</si>
  <si>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</si>
  <si>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</si>
  <si>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</si>
  <si>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</si>
  <si>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</si>
  <si>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</si>
  <si>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</si>
  <si>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</si>
  <si>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</si>
  <si>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</si>
  <si>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</si>
  <si>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</si>
  <si>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</si>
  <si>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</si>
  <si>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</si>
  <si>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</si>
  <si>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</si>
  <si>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</si>
  <si>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</si>
  <si>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</si>
  <si>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</si>
  <si>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</si>
  <si>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</si>
  <si>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</si>
  <si>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</si>
  <si>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</si>
  <si>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</si>
  <si>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</si>
  <si>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</si>
  <si>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</si>
  <si>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</si>
  <si>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</si>
  <si>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</si>
  <si>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</si>
  <si>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</si>
  <si>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</si>
  <si>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</si>
  <si>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</si>
  <si>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</si>
  <si>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</si>
  <si>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</si>
  <si>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</si>
  <si>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</si>
  <si>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</si>
  <si>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</si>
  <si>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</si>
  <si>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</si>
  <si>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</si>
  <si>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</si>
  <si>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</si>
  <si>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</si>
  <si>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</si>
  <si>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</si>
  <si>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</si>
  <si>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</si>
  <si>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</si>
  <si>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</si>
  <si>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</si>
  <si>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</si>
  <si>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</si>
  <si>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</si>
  <si>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</si>
  <si>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</si>
  <si>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</si>
  <si>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</si>
  <si>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</si>
  <si>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</si>
  <si>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</si>
  <si>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</si>
  <si>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</si>
  <si>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</si>
  <si>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</si>
  <si>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</si>
  <si>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</si>
  <si>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</si>
  <si>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</si>
  <si>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</si>
  <si>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</si>
  <si>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</si>
  <si>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</si>
  <si>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</si>
  <si>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</si>
  <si>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</si>
  <si>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</si>
  <si>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</si>
  <si>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</si>
  <si>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</si>
  <si>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</si>
  <si>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</si>
  <si>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</si>
  <si>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</si>
  <si>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</si>
  <si>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</si>
  <si>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</si>
  <si>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</si>
  <si>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</si>
  <si>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</si>
  <si>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</si>
  <si>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</si>
  <si>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</si>
  <si>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</si>
  <si>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</si>
  <si>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</si>
  <si>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</si>
  <si>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</si>
  <si>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</si>
  <si>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</si>
  <si>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</si>
  <si>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</si>
  <si>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</si>
  <si>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</si>
  <si>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</si>
  <si>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</si>
  <si>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</si>
  <si>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</si>
  <si>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</si>
  <si>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</si>
  <si>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</si>
  <si>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</si>
  <si>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</si>
  <si>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</si>
  <si>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</si>
  <si>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</si>
  <si>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</si>
  <si>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</si>
  <si>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</si>
  <si>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</si>
  <si>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</si>
  <si>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</si>
  <si>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</si>
  <si>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</si>
  <si>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</si>
  <si>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</si>
  <si>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</si>
  <si>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</si>
  <si>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</si>
  <si>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</si>
  <si>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</si>
  <si>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</si>
  <si>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</si>
  <si>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</si>
  <si>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</si>
  <si>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</si>
  <si>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</si>
  <si>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</si>
  <si>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</si>
  <si>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</si>
  <si>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</si>
  <si>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</si>
  <si>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</si>
  <si>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</si>
  <si>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</si>
  <si>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</si>
  <si>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</si>
  <si>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</si>
  <si>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</si>
  <si>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</si>
  <si>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</si>
  <si>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</si>
  <si>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</si>
  <si>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</si>
  <si>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</si>
  <si>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</si>
  <si>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</si>
  <si>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</si>
  <si>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</si>
  <si>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</si>
  <si>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</si>
  <si>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</si>
  <si>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</si>
  <si>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</si>
  <si>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</si>
  <si>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</si>
  <si>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</si>
  <si>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</si>
  <si>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</si>
  <si>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</si>
  <si>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</si>
  <si>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</si>
  <si>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</si>
  <si>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</si>
  <si>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</si>
  <si>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</si>
  <si>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</si>
  <si>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</si>
  <si>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</si>
  <si>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</si>
  <si>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</si>
  <si>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</si>
  <si>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</si>
  <si>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</si>
  <si>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</si>
  <si>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</si>
  <si>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</si>
  <si>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</si>
  <si>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</si>
  <si>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</si>
  <si>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</si>
  <si>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</si>
  <si>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</si>
  <si>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</si>
  <si>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</si>
  <si>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</si>
  <si>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</si>
  <si>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</si>
  <si>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</si>
  <si>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</si>
  <si>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</si>
  <si>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</si>
  <si>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</si>
  <si>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</si>
  <si>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</si>
  <si>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</si>
  <si>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</si>
  <si>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</si>
  <si>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</si>
  <si>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</si>
  <si>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</si>
  <si>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</si>
  <si>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</si>
  <si>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</si>
  <si>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</si>
  <si>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</si>
  <si>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</si>
  <si>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</si>
  <si>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</si>
  <si>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</si>
  <si>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</si>
  <si>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</si>
  <si>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</si>
  <si>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</si>
  <si>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</si>
  <si>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</si>
  <si>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</si>
  <si>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</si>
  <si>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</si>
  <si>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</si>
  <si>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</si>
  <si>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</si>
  <si>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</si>
  <si>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</si>
  <si>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</si>
  <si>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</si>
  <si>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</si>
  <si>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</si>
  <si>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</si>
  <si>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</si>
  <si>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</si>
  <si>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</si>
  <si>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</si>
  <si>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</si>
  <si>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</si>
  <si>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</si>
  <si>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</si>
  <si>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</si>
  <si>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</si>
  <si>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</si>
  <si>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</si>
  <si>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</si>
  <si>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</si>
  <si>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</si>
  <si>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</si>
  <si>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</si>
  <si>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</si>
  <si>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</si>
  <si>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</si>
  <si>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</si>
  <si>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</si>
  <si>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</si>
  <si>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</si>
  <si>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</si>
  <si>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</si>
  <si>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</si>
  <si>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</si>
  <si>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</si>
  <si>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</si>
  <si>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</si>
  <si>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</si>
  <si>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</si>
  <si>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</si>
  <si>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</si>
  <si>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</si>
  <si>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</si>
  <si>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</si>
  <si>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</si>
  <si>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</si>
  <si>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</si>
  <si>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</si>
  <si>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</si>
  <si>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</si>
  <si>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</si>
  <si>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</si>
  <si>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</si>
  <si>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</si>
  <si>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</si>
  <si>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</si>
  <si>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</si>
  <si>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</si>
  <si>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</si>
  <si>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</si>
  <si>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</si>
  <si>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</si>
  <si>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</si>
  <si>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</si>
  <si>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</si>
  <si>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</si>
  <si>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</si>
  <si>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</si>
  <si>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</si>
  <si>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</si>
  <si>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</si>
  <si>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</si>
  <si>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</si>
  <si>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</si>
  <si>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</si>
  <si>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</si>
  <si>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</si>
  <si>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</si>
  <si>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</si>
  <si>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</si>
  <si>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</si>
  <si>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</si>
  <si>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</si>
  <si>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</si>
  <si>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</si>
  <si>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</si>
  <si>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</si>
  <si>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</si>
  <si>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</si>
  <si>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</si>
  <si>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</si>
  <si>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</si>
  <si>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</si>
  <si>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</si>
  <si>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</si>
  <si>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</si>
  <si>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</si>
  <si>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</si>
  <si>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</si>
  <si>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</si>
  <si>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</si>
  <si>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</si>
  <si>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</si>
  <si>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</si>
  <si>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</si>
  <si>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</si>
  <si>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</si>
  <si>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</si>
  <si>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</si>
  <si>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</si>
  <si>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</si>
  <si>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</si>
  <si>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</si>
  <si>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</si>
  <si>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</si>
  <si>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</si>
  <si>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</si>
  <si>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</si>
  <si>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</si>
  <si>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</si>
  <si>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</si>
  <si>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</si>
  <si>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</si>
  <si>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</si>
  <si>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</si>
  <si>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</si>
  <si>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</si>
  <si>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</si>
  <si>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</si>
  <si>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</si>
  <si>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</si>
  <si>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</si>
  <si>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</si>
  <si>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</si>
  <si>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</si>
  <si>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</si>
  <si>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</si>
  <si>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</si>
  <si>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</si>
  <si>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</si>
  <si>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</si>
  <si>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</si>
  <si>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</si>
  <si>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</si>
  <si>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</si>
  <si>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</si>
  <si>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</si>
  <si>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</si>
  <si>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</si>
  <si>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</si>
  <si>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</si>
  <si>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</si>
  <si>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</si>
  <si>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</si>
  <si>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</si>
  <si>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</si>
  <si>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</si>
  <si>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</si>
  <si>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</si>
  <si>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</si>
  <si>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</si>
  <si>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</si>
  <si>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</si>
  <si>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</si>
  <si>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</si>
  <si>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</si>
  <si>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</si>
  <si>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</si>
  <si>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</si>
  <si>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</si>
  <si>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</si>
  <si>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</si>
  <si>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</si>
  <si>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</si>
  <si>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</si>
  <si>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</si>
  <si>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</si>
  <si>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</si>
  <si>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</si>
  <si>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</si>
  <si>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</si>
  <si>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</si>
  <si>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</si>
  <si>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</si>
  <si>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</si>
  <si>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</si>
  <si>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</si>
  <si>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</si>
  <si>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</si>
  <si>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</si>
  <si>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</si>
  <si>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</si>
  <si>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</si>
  <si>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</si>
  <si>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</si>
  <si>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</si>
  <si>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</si>
  <si>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</si>
  <si>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</si>
  <si>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</si>
  <si>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</si>
  <si>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</si>
  <si>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</si>
  <si>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</si>
  <si>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</si>
  <si>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</si>
  <si>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</si>
  <si>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</si>
  <si>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</si>
  <si>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</si>
  <si>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</si>
  <si>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</si>
  <si>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</si>
  <si>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</si>
  <si>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</si>
  <si>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</si>
  <si>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</si>
  <si>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</si>
  <si>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</si>
  <si>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</si>
  <si>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</si>
  <si>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</si>
  <si>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</si>
  <si>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</si>
  <si>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</si>
  <si>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</si>
  <si>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</si>
  <si>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</si>
  <si>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</si>
  <si>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</si>
  <si>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</si>
  <si>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</si>
  <si>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</si>
  <si>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</si>
  <si>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</si>
  <si>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</si>
  <si>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</si>
  <si>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</si>
  <si>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</si>
  <si>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</si>
  <si>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</si>
  <si>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</si>
  <si>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</si>
  <si>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</si>
  <si>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</si>
  <si>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</si>
  <si>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</si>
  <si>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</si>
  <si>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</si>
  <si>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</si>
  <si>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</si>
  <si>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</si>
  <si>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</si>
  <si>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</si>
  <si>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</si>
  <si>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</si>
  <si>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</si>
  <si>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</si>
  <si>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</si>
  <si>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</si>
  <si>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</si>
  <si>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</si>
  <si>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</si>
  <si>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</si>
  <si>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</si>
  <si>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</si>
  <si>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</si>
  <si>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</si>
  <si>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</si>
  <si>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</si>
  <si>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</si>
  <si>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</si>
  <si>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</si>
  <si>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</si>
  <si>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</si>
  <si>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</si>
  <si>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</si>
  <si>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</si>
  <si>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</si>
  <si>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</si>
  <si>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</si>
  <si>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</si>
  <si>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</si>
  <si>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</si>
  <si>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</si>
  <si>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</si>
  <si>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</si>
  <si>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</si>
  <si>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</si>
  <si>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</si>
  <si>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</si>
  <si>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</si>
  <si>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</si>
  <si>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</si>
  <si>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</si>
  <si>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</si>
  <si>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</si>
  <si>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</si>
  <si>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</si>
  <si>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</si>
  <si>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</si>
  <si>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</si>
  <si>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</si>
  <si>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</si>
  <si>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</si>
  <si>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</si>
  <si>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</si>
  <si>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</si>
  <si>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</si>
  <si>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</si>
  <si>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</si>
  <si>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</si>
  <si>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</si>
  <si>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</si>
  <si>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</si>
  <si>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</si>
  <si>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</si>
  <si>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</si>
  <si>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</si>
  <si>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</si>
  <si>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</si>
  <si>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</si>
  <si>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</si>
  <si>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</si>
  <si>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</si>
  <si>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</si>
  <si>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</si>
  <si>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</si>
  <si>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</si>
  <si>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</si>
  <si>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</si>
  <si>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</si>
  <si>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</si>
  <si>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</si>
  <si>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</si>
  <si>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</si>
  <si>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</si>
  <si>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</si>
  <si>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</si>
  <si>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</si>
  <si>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</si>
  <si>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</si>
  <si>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</si>
  <si>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</si>
  <si>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</si>
  <si>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</si>
  <si>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</si>
  <si>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</si>
  <si>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</si>
  <si>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</si>
  <si>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</si>
  <si>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</si>
  <si>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</si>
  <si>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</si>
  <si>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</si>
  <si>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</si>
  <si>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</si>
  <si>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</si>
  <si>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</si>
  <si>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</si>
  <si>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</si>
  <si>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</si>
  <si>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</si>
  <si>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</si>
  <si>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</si>
  <si>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</si>
  <si>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</si>
  <si>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</si>
  <si>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</si>
  <si>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</si>
  <si>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</si>
  <si>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</si>
  <si>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</si>
  <si>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</si>
  <si>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</si>
  <si>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</si>
  <si>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</si>
  <si>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</si>
  <si>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</si>
  <si>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</si>
  <si>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</si>
  <si>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</si>
  <si>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</si>
  <si>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</si>
  <si>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</si>
  <si>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</si>
  <si>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</si>
  <si>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</si>
  <si>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</si>
  <si>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</si>
  <si>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</si>
  <si>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</si>
  <si>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</si>
  <si>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</si>
  <si>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</si>
  <si>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</si>
  <si>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</si>
  <si>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</si>
  <si>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</si>
  <si>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</si>
  <si>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</si>
  <si>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</si>
  <si>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</si>
  <si>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</si>
  <si>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</si>
  <si>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</si>
  <si>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</si>
  <si>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</si>
  <si>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</si>
  <si>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</si>
  <si>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</si>
  <si>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</si>
  <si>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</si>
  <si>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</si>
  <si>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</si>
  <si>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</si>
  <si>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</si>
  <si>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</si>
  <si>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</si>
  <si>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</si>
  <si>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</si>
  <si>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</si>
  <si>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</si>
  <si>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</si>
  <si>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</si>
  <si>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</si>
  <si>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</si>
  <si>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</si>
  <si>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</si>
  <si>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</si>
  <si>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</si>
  <si>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</si>
  <si>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</si>
  <si>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</si>
  <si>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</si>
  <si>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</si>
  <si>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</si>
  <si>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</si>
  <si>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</si>
  <si>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</si>
  <si>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</si>
  <si>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</si>
  <si>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</si>
  <si>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</si>
  <si>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</si>
  <si>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</si>
  <si>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</si>
  <si>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</si>
  <si>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</si>
  <si>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</si>
  <si>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</si>
  <si>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</si>
  <si>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</si>
  <si>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</si>
  <si>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</si>
  <si>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</si>
  <si>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</si>
  <si>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</si>
  <si>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</si>
  <si>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</si>
  <si>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</si>
  <si>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</si>
  <si>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</si>
  <si>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</si>
  <si>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</si>
  <si>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</si>
  <si>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</si>
  <si>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</si>
  <si>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</si>
  <si>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</si>
  <si>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</si>
  <si>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</si>
  <si>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</si>
  <si>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</si>
  <si>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</si>
  <si>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</si>
  <si>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</si>
  <si>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</si>
  <si>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</si>
  <si>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</si>
  <si>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</si>
  <si>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</si>
  <si>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</si>
  <si>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</si>
  <si>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</si>
  <si>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</si>
  <si>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</si>
  <si>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</si>
  <si>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</si>
  <si>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</si>
  <si>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</si>
  <si>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</si>
  <si>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</si>
  <si>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</si>
  <si>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</si>
  <si>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</si>
  <si>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</si>
  <si>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</si>
  <si>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</si>
  <si>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</si>
  <si>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</si>
  <si>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</si>
  <si>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</si>
  <si>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</si>
  <si>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</si>
  <si>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</si>
  <si>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</si>
  <si>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</si>
  <si>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</si>
  <si>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</si>
  <si>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</si>
  <si>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</si>
  <si>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</si>
  <si>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</si>
  <si>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</si>
  <si>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</si>
  <si>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</si>
  <si>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</si>
  <si>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</si>
  <si>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</si>
  <si>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</si>
  <si>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</si>
  <si>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</si>
  <si>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</si>
  <si>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</si>
  <si>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</si>
  <si>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</si>
  <si>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</si>
  <si>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</si>
  <si>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</si>
  <si>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</si>
  <si>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</si>
  <si>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</si>
  <si>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</si>
  <si>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</si>
  <si>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</si>
  <si>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</si>
  <si>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</si>
  <si>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</si>
  <si>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</si>
  <si>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</si>
  <si>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</si>
  <si>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</si>
  <si>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</si>
  <si>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</si>
  <si>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</si>
  <si>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</si>
  <si>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</si>
  <si>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</si>
  <si>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</si>
  <si>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</si>
  <si>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</si>
  <si>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</si>
  <si>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</si>
  <si>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</si>
  <si>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</si>
  <si>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</si>
  <si>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</si>
  <si>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</si>
  <si>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</si>
  <si>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</si>
  <si>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</si>
  <si>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</si>
  <si>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</si>
  <si>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</si>
  <si>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</si>
  <si>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</si>
  <si>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</si>
  <si>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</si>
  <si>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</si>
  <si>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</si>
  <si>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</si>
  <si>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</si>
  <si>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</si>
  <si>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</si>
  <si>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</si>
  <si>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</si>
  <si>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</si>
  <si>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</si>
  <si>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</si>
  <si>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</si>
  <si>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</si>
  <si>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</si>
  <si>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</si>
  <si>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</si>
  <si>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</si>
  <si>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</si>
  <si>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</si>
  <si>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</si>
  <si>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</si>
  <si>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</si>
  <si>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</si>
  <si>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</si>
  <si>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</si>
  <si>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</si>
  <si>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</si>
  <si>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</si>
  <si>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</si>
  <si>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</si>
  <si>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</si>
  <si>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</si>
  <si>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</si>
  <si>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</si>
  <si>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</si>
  <si>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</si>
  <si>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</si>
  <si>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</si>
  <si>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</si>
  <si>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</si>
  <si>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</si>
  <si>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</si>
  <si>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</si>
  <si>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</si>
  <si>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</si>
  <si>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</si>
  <si>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</si>
  <si>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</si>
  <si>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</si>
  <si>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</si>
  <si>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</si>
  <si>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</si>
  <si>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</si>
  <si>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</si>
  <si>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</si>
  <si>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</si>
  <si>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</si>
  <si>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</si>
  <si>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</si>
  <si>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</si>
  <si>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</si>
  <si>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</si>
  <si>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</si>
  <si>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</si>
  <si>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</si>
  <si>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</si>
  <si>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</si>
  <si>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</si>
  <si>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</si>
  <si>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</si>
  <si>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</si>
  <si>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</si>
  <si>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</si>
  <si>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</si>
  <si>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</si>
  <si>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</si>
  <si>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</si>
  <si>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</si>
  <si>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</si>
  <si>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</si>
  <si>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</si>
  <si>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</si>
  <si>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</si>
  <si>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</si>
  <si>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</si>
  <si>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</si>
  <si>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</si>
  <si>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</si>
  <si>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</si>
  <si>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</si>
  <si>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</si>
  <si>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</si>
  <si>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</si>
  <si>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</si>
  <si>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</si>
  <si>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</si>
  <si>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</si>
  <si>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</si>
  <si>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</si>
  <si>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</si>
  <si>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</si>
  <si>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</si>
  <si>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</si>
  <si>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</si>
  <si>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</si>
  <si>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</si>
  <si>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</si>
  <si>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</si>
  <si>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</si>
  <si>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</si>
  <si>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</si>
  <si>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</si>
  <si>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</si>
  <si>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</si>
  <si>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</si>
  <si>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</si>
  <si>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</si>
  <si>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</si>
  <si>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</si>
  <si>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</si>
  <si>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</si>
  <si>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</si>
  <si>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</si>
  <si>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</si>
  <si>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</si>
  <si>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</si>
  <si>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</si>
  <si>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</si>
  <si>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</si>
  <si>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</si>
  <si>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</si>
  <si>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</si>
  <si>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</si>
  <si>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</si>
  <si>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</si>
  <si>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</si>
  <si>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</si>
  <si>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</si>
  <si>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</si>
  <si>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</si>
  <si>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</si>
  <si>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</si>
  <si>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</si>
  <si>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</si>
  <si>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</si>
  <si>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</si>
  <si>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</si>
  <si>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</si>
  <si>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</si>
  <si>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</si>
  <si>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</si>
  <si>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</si>
  <si>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</si>
  <si>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</si>
  <si>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</si>
  <si>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</si>
  <si>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</si>
  <si>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</si>
  <si>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</si>
  <si>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</si>
  <si>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</si>
  <si>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</si>
  <si>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</si>
  <si>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</si>
  <si>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</si>
  <si>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</si>
  <si>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</si>
  <si>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</si>
  <si>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</si>
  <si>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</si>
  <si>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</si>
  <si>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</si>
  <si>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</si>
  <si>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</si>
  <si>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</si>
  <si>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</si>
  <si>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</si>
  <si>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</si>
  <si>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</si>
  <si>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</si>
  <si>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</si>
  <si>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</si>
  <si>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</si>
  <si>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</si>
  <si>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</si>
  <si>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</si>
  <si>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</si>
  <si>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</si>
  <si>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</si>
  <si>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</si>
  <si>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</si>
  <si>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</si>
  <si>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</si>
  <si>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</si>
  <si>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</si>
  <si>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</si>
  <si>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</si>
  <si>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</si>
  <si>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</si>
  <si>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</si>
  <si>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</si>
  <si>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</si>
  <si>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</si>
  <si>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</si>
  <si>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</si>
  <si>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</si>
  <si>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</si>
  <si>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</si>
  <si>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</si>
  <si>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</si>
  <si>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</si>
  <si>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</si>
  <si>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</si>
  <si>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</si>
  <si>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</si>
  <si>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</si>
  <si>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</si>
  <si>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</si>
  <si>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</si>
  <si>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</si>
  <si>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</si>
  <si>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</si>
  <si>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</si>
  <si>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</si>
  <si>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</si>
  <si>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</si>
  <si>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</si>
  <si>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</si>
  <si>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</si>
  <si>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</si>
  <si>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</si>
  <si>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</si>
  <si>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</si>
  <si>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</si>
  <si>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</si>
  <si>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</si>
  <si>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</si>
  <si>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</si>
  <si>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</si>
  <si>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</si>
  <si>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</si>
  <si>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</si>
  <si>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</si>
  <si>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</si>
  <si>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</si>
  <si>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</si>
  <si>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</si>
  <si>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</si>
  <si>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</si>
  <si>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</si>
  <si>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</si>
  <si>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</si>
  <si>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</si>
  <si>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</si>
  <si>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</si>
  <si>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</si>
  <si>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</si>
  <si>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</si>
  <si>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</si>
  <si>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</si>
  <si>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</si>
  <si>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</si>
  <si>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</si>
  <si>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</si>
  <si>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</si>
  <si>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</si>
  <si>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</si>
  <si>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</si>
  <si>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</si>
  <si>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</si>
  <si>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</si>
  <si>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</si>
  <si>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</si>
  <si>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</si>
  <si>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</si>
  <si>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</si>
  <si>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</si>
  <si>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</si>
  <si>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</si>
  <si>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</si>
  <si>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</si>
  <si>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</si>
  <si>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</si>
  <si>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</si>
  <si>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</si>
  <si>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</si>
  <si>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</si>
  <si>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</si>
  <si>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</si>
  <si>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</si>
  <si>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</si>
  <si>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</si>
  <si>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</si>
  <si>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</si>
  <si>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</si>
  <si>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</si>
  <si>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</si>
  <si>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</si>
  <si>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</si>
  <si>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</si>
  <si>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</si>
  <si>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</si>
  <si>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</si>
  <si>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</si>
  <si>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</si>
  <si>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</si>
  <si>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</si>
  <si>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</si>
  <si>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</si>
  <si>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</si>
  <si>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</si>
  <si>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</si>
  <si>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</si>
  <si>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</si>
  <si>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</si>
  <si>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</si>
  <si>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</si>
  <si>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</si>
  <si>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</si>
  <si>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</si>
  <si>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</si>
  <si>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</si>
  <si>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</si>
  <si>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</si>
  <si>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</si>
  <si>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</si>
  <si>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</si>
  <si>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</si>
  <si>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</si>
  <si>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</si>
  <si>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</si>
  <si>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</si>
  <si>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</si>
  <si>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</si>
  <si>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</si>
  <si>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</si>
  <si>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</si>
  <si>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</si>
  <si>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</si>
  <si>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</si>
  <si>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</si>
  <si>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</si>
  <si>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</si>
  <si>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</si>
  <si>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</si>
  <si>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</si>
  <si>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</si>
  <si>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</si>
  <si>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</si>
  <si>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</si>
  <si>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</si>
  <si>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</si>
  <si>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</si>
  <si>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</si>
  <si>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</si>
  <si>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</si>
  <si>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</si>
  <si>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</si>
  <si>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</si>
  <si>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</si>
  <si>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</si>
  <si>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</si>
  <si>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</si>
  <si>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</si>
  <si>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</si>
  <si>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</si>
  <si>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</si>
  <si>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</si>
  <si>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</si>
  <si>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</si>
  <si>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</si>
  <si>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</si>
  <si>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</si>
  <si>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</si>
  <si>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</si>
  <si>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</si>
  <si>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</si>
  <si>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</si>
  <si>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</si>
  <si>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</si>
  <si>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</si>
  <si>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</si>
  <si>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</si>
  <si>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</si>
  <si>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</si>
  <si>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</si>
  <si>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</si>
  <si>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</si>
  <si>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</si>
  <si>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</si>
  <si>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</si>
  <si>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</si>
  <si>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</si>
  <si>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</si>
  <si>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</si>
  <si>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</si>
  <si>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</si>
  <si>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</si>
  <si>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</si>
  <si>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</si>
  <si>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</si>
  <si>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</si>
  <si>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</si>
  <si>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</si>
  <si>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</si>
  <si>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</si>
  <si>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</si>
  <si>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</si>
  <si>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</si>
  <si>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</si>
  <si>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</si>
  <si>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</si>
  <si>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</si>
  <si>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</si>
  <si>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</si>
  <si>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</si>
  <si>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</si>
  <si>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</si>
  <si>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</si>
  <si>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</si>
  <si>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</si>
  <si>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</si>
  <si>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</si>
  <si>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</si>
  <si>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</si>
  <si>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</si>
  <si>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</si>
  <si>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</si>
  <si>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</si>
  <si>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</si>
  <si>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</si>
  <si>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</si>
  <si>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</si>
  <si>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</si>
  <si>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</si>
  <si>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</si>
  <si>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</si>
  <si>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</si>
  <si>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</si>
  <si>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</si>
  <si>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</si>
  <si>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</si>
  <si>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</si>
  <si>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</si>
  <si>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</si>
  <si>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</si>
  <si>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</si>
  <si>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</si>
  <si>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</si>
  <si>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</si>
  <si>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</si>
  <si>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</si>
  <si>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</si>
  <si>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</si>
  <si>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</si>
  <si>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</si>
  <si>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</si>
  <si>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</si>
  <si>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</si>
  <si>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</si>
  <si>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</si>
  <si>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</si>
  <si>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</si>
  <si>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</si>
  <si>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</si>
  <si>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</si>
  <si>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</si>
  <si>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</si>
  <si>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</si>
  <si>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</si>
  <si>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</si>
  <si>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</si>
  <si>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</si>
  <si>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</si>
  <si>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</si>
  <si>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</si>
  <si>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</si>
  <si>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</si>
  <si>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</si>
  <si>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</si>
  <si>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</si>
  <si>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</si>
  <si>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</si>
  <si>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</si>
  <si>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</si>
  <si>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</si>
  <si>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</si>
  <si>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</si>
  <si>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</si>
  <si>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</si>
  <si>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</si>
  <si>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</si>
  <si>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</si>
  <si>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</si>
  <si>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</si>
  <si>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</si>
  <si>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</si>
  <si>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</si>
  <si>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</si>
  <si>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</si>
  <si>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</si>
  <si>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</si>
  <si>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</si>
  <si>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</si>
  <si>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</si>
  <si>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</si>
  <si>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</si>
  <si>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</si>
  <si>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</si>
  <si>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</si>
  <si>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</si>
  <si>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</si>
  <si>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</si>
  <si>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</si>
  <si>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</si>
  <si>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</si>
  <si>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</si>
  <si>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</si>
  <si>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</si>
  <si>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</si>
  <si>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</si>
  <si>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</si>
  <si>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</si>
  <si>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</si>
  <si>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</si>
  <si>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</si>
  <si>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</si>
  <si>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</si>
  <si>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</si>
  <si>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</si>
  <si>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</si>
  <si>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</si>
  <si>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</si>
  <si>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</si>
  <si>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</si>
  <si>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</si>
  <si>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</si>
  <si>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</si>
  <si>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</si>
  <si>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</si>
  <si>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</si>
  <si>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</si>
  <si>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</si>
  <si>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</si>
  <si>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</si>
  <si>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</si>
  <si>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</si>
  <si>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</si>
  <si>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</si>
  <si>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</si>
  <si>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</si>
  <si>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</si>
  <si>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</si>
  <si>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</si>
  <si>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</si>
  <si>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</si>
  <si>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</si>
  <si>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</si>
  <si>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</si>
  <si>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</si>
  <si>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</si>
  <si>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</si>
  <si>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</si>
  <si>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</si>
  <si>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</si>
  <si>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</si>
  <si>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</si>
  <si>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</si>
  <si>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</si>
  <si>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</si>
  <si>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</si>
  <si>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</si>
  <si>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</si>
  <si>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</si>
  <si>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</si>
  <si>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</si>
  <si>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</si>
  <si>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</si>
  <si>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</si>
  <si>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</si>
  <si>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</si>
  <si>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</si>
  <si>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</si>
  <si>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</si>
  <si>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</si>
  <si>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</si>
  <si>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</si>
  <si>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</si>
  <si>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</si>
  <si>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</si>
  <si>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</si>
  <si>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</si>
  <si>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</si>
  <si>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</si>
  <si>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</si>
  <si>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</si>
  <si>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</si>
  <si>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</si>
  <si>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</si>
  <si>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</si>
  <si>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</si>
  <si>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</si>
  <si>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</si>
  <si>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</si>
  <si>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</si>
  <si>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</si>
  <si>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</si>
  <si>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</si>
  <si>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</si>
  <si>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</si>
  <si>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</si>
  <si>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</si>
  <si>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</si>
  <si>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</si>
  <si>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</si>
  <si>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</si>
  <si>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</si>
  <si>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</si>
  <si>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</si>
  <si>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</si>
  <si>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</si>
  <si>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</si>
  <si>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</si>
  <si>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</si>
  <si>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</si>
  <si>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</si>
  <si>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</si>
  <si>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</si>
  <si>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</si>
  <si>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</si>
  <si>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</si>
  <si>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</si>
  <si>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</si>
  <si>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</si>
  <si>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</si>
  <si>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</si>
  <si>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</si>
  <si>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</si>
  <si>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</si>
  <si>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</si>
  <si>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</si>
  <si>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</si>
  <si>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</si>
  <si>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</si>
  <si>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</si>
  <si>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</si>
  <si>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</si>
  <si>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</si>
  <si>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</si>
  <si>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</si>
  <si>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</si>
  <si>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</si>
  <si>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</si>
  <si>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</si>
  <si>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</si>
  <si>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</si>
  <si>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</si>
  <si>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</si>
  <si>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</si>
  <si>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</si>
  <si>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</si>
  <si>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</si>
  <si>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</si>
  <si>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</si>
  <si>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</si>
  <si>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</si>
  <si>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</si>
  <si>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</si>
  <si>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</si>
  <si>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</si>
  <si>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</si>
  <si>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</si>
  <si>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</si>
  <si>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</si>
  <si>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</si>
  <si>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</si>
  <si>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</si>
  <si>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</si>
  <si>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</si>
  <si>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</si>
  <si>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</si>
  <si>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</si>
  <si>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</si>
  <si>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</si>
  <si>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</si>
  <si>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</si>
  <si>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</si>
  <si>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</si>
  <si>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</si>
  <si>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</si>
  <si>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</si>
  <si>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</si>
  <si>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</si>
  <si>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</si>
  <si>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</si>
  <si>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</si>
  <si>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</si>
  <si>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</si>
  <si>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</si>
  <si>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</si>
  <si>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</si>
  <si>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</si>
  <si>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</si>
  <si>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</si>
  <si>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</si>
  <si>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</si>
  <si>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</si>
  <si>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</si>
  <si>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</si>
  <si>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</si>
  <si>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</si>
  <si>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</si>
  <si>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</si>
  <si>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</si>
  <si>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</si>
  <si>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</si>
  <si>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</si>
  <si>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</si>
  <si>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</si>
  <si>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</si>
  <si>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</si>
  <si>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</si>
  <si>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</si>
  <si>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</si>
  <si>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</si>
  <si>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</si>
  <si>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</si>
  <si>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</si>
  <si>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</si>
  <si>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</si>
  <si>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</si>
  <si>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</si>
  <si>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</si>
  <si>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</si>
  <si>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</si>
  <si>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</si>
  <si>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</si>
  <si>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</si>
  <si>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</si>
  <si>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</si>
  <si>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</si>
  <si>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</si>
  <si>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</si>
  <si>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</si>
  <si>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</si>
  <si>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</si>
  <si>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</si>
  <si>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</si>
  <si>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</si>
  <si>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</si>
  <si>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</si>
  <si>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</si>
  <si>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</si>
  <si>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</si>
  <si>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</si>
  <si>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</si>
  <si>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</si>
  <si>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</si>
  <si>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</si>
  <si>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</si>
  <si>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</si>
  <si>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</si>
  <si>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</si>
  <si>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</si>
  <si>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</si>
  <si>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</si>
  <si>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</si>
  <si>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</si>
  <si>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</si>
  <si>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</si>
  <si>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</si>
  <si>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</si>
  <si>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</si>
  <si>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</si>
  <si>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</si>
  <si>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</si>
  <si>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</si>
  <si>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</si>
  <si>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</si>
  <si>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</si>
  <si>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</si>
  <si>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</si>
  <si>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</si>
  <si>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</si>
  <si>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</si>
  <si>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</si>
  <si>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</si>
  <si>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</si>
  <si>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</si>
  <si>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</si>
  <si>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</si>
  <si>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</si>
  <si>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</si>
  <si>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</si>
  <si>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</si>
  <si>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</si>
  <si>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</si>
  <si>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</si>
  <si>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</si>
  <si>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</si>
  <si>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</si>
  <si>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</si>
  <si>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</si>
  <si>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</si>
  <si>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</si>
  <si>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</si>
  <si>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</si>
  <si>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</si>
  <si>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</si>
  <si>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</si>
  <si>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</si>
  <si>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</si>
  <si>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</si>
  <si>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</si>
  <si>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</si>
  <si>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</si>
  <si>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</si>
  <si>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</si>
  <si>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</si>
  <si>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</si>
  <si>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</si>
  <si>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</si>
  <si>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</si>
  <si>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</si>
  <si>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</si>
  <si>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</si>
  <si>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</si>
  <si>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</si>
  <si>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</si>
  <si>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</si>
  <si>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</si>
  <si>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</si>
  <si>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</si>
  <si>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</si>
  <si>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</si>
  <si>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</si>
  <si>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</si>
  <si>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</si>
  <si>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</si>
  <si>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</si>
  <si>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</si>
  <si>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</si>
  <si>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</si>
  <si>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</si>
  <si>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</si>
  <si>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</si>
  <si>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</si>
  <si>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</si>
  <si>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</si>
  <si>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</si>
  <si>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</si>
  <si>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</si>
  <si>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</si>
  <si>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</si>
  <si>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</si>
  <si>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</si>
  <si>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</si>
  <si>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</si>
  <si>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</si>
  <si>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</si>
  <si>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</si>
  <si>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</si>
  <si>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</si>
  <si>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</si>
  <si>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</si>
  <si>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</si>
  <si>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</si>
  <si>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</si>
  <si>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</si>
  <si>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</si>
  <si>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</si>
  <si>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</si>
  <si>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</si>
  <si>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</si>
  <si>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</si>
  <si>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</si>
  <si>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</si>
  <si>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</si>
  <si>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</si>
  <si>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</si>
  <si>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</si>
  <si>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</si>
  <si>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</si>
  <si>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</si>
  <si>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</si>
  <si>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</si>
  <si>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</si>
  <si>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</si>
  <si>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</si>
  <si>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</si>
  <si>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</si>
  <si>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</si>
  <si>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</si>
  <si>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</si>
  <si>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</si>
  <si>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</si>
  <si>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</si>
  <si>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</si>
  <si>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</si>
  <si>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</si>
  <si>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</si>
  <si>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</si>
  <si>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</si>
  <si>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</si>
  <si>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</si>
  <si>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</si>
  <si>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</si>
  <si>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</si>
  <si>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</si>
  <si>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</si>
  <si>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</si>
  <si>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</si>
  <si>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</si>
  <si>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</si>
  <si>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</si>
  <si>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</si>
  <si>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</si>
  <si>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</si>
  <si>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</si>
  <si>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</si>
  <si>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</si>
  <si>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</si>
  <si>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</si>
  <si>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</si>
  <si>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</si>
  <si>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</si>
  <si>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</si>
  <si>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</si>
  <si>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</si>
  <si>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</si>
  <si>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</si>
  <si>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</si>
  <si>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</si>
  <si>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</si>
  <si>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</si>
  <si>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</si>
  <si>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</si>
  <si>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</si>
  <si>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</si>
  <si>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</si>
  <si>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</si>
  <si>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</si>
  <si>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</si>
  <si>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</si>
  <si>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</si>
  <si>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</si>
  <si>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</si>
  <si>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</si>
  <si>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</si>
  <si>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</si>
  <si>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</si>
  <si>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</si>
  <si>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</si>
  <si>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</si>
  <si>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</si>
  <si>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</si>
  <si>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</si>
  <si>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</si>
  <si>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</si>
  <si>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</si>
  <si>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</si>
  <si>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</si>
  <si>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</si>
  <si>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</si>
  <si>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</si>
  <si>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</si>
  <si>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</si>
  <si>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</si>
  <si>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</si>
  <si>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</si>
  <si>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</si>
  <si>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</si>
  <si>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</si>
  <si>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</si>
  <si>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</si>
  <si>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</si>
  <si>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</si>
  <si>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</si>
  <si>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</si>
  <si>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</si>
  <si>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</si>
  <si>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</si>
  <si>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</si>
  <si>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</si>
  <si>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</si>
  <si>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</si>
  <si>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</si>
  <si>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</si>
  <si>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</si>
  <si>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</si>
  <si>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</si>
  <si>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</si>
  <si>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</si>
  <si>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</si>
  <si>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</si>
  <si>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</si>
  <si>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</si>
  <si>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</si>
  <si>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</si>
  <si>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</si>
  <si>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</si>
  <si>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</si>
  <si>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</si>
  <si>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</si>
  <si>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</si>
  <si>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</si>
  <si>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</si>
  <si>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</si>
  <si>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</si>
  <si>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</si>
  <si>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</si>
  <si>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</si>
  <si>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</si>
  <si>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</si>
  <si>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</si>
  <si>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</si>
  <si>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</si>
  <si>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</si>
  <si>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</si>
  <si>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</si>
  <si>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</si>
  <si>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</si>
  <si>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</si>
  <si>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</si>
  <si>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</si>
  <si>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</si>
  <si>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</si>
  <si>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</si>
  <si>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</si>
  <si>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</si>
  <si>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</si>
  <si>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</si>
  <si>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</si>
  <si>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</si>
  <si>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</si>
  <si>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</si>
  <si>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</si>
  <si>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</si>
  <si>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</si>
  <si>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</si>
  <si>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</si>
  <si>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</si>
  <si>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</si>
  <si>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</si>
  <si>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</si>
  <si>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</si>
  <si>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</si>
  <si>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</si>
  <si>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</si>
  <si>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</si>
  <si>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</si>
  <si>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</si>
  <si>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</si>
  <si>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</si>
  <si>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</si>
  <si>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</si>
  <si>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</si>
  <si>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</si>
  <si>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</si>
  <si>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</si>
  <si>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</si>
  <si>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</si>
  <si>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</si>
  <si>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</si>
  <si>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</si>
  <si>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</si>
  <si>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</si>
  <si>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</si>
  <si>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</si>
  <si>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</si>
  <si>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</si>
  <si>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</si>
  <si>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</si>
  <si>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</si>
  <si>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</si>
  <si>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</si>
  <si>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</si>
  <si>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</si>
  <si>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</si>
  <si>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</si>
  <si>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</si>
  <si>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</si>
  <si>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</si>
  <si>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</si>
  <si>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</si>
  <si>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</si>
  <si>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</si>
  <si>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</si>
  <si>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</si>
  <si>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</si>
  <si>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</si>
  <si>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</si>
  <si>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</si>
  <si>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</si>
  <si>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</si>
  <si>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</si>
  <si>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</si>
  <si>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</si>
  <si>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</si>
  <si>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</si>
  <si>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</si>
  <si>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</si>
  <si>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</si>
  <si>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</si>
  <si>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</si>
  <si>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</si>
  <si>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</si>
  <si>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</si>
  <si>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</si>
  <si>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</si>
  <si>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</si>
  <si>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</si>
  <si>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</si>
  <si>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</si>
  <si>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</si>
  <si>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</si>
  <si>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</si>
  <si>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</si>
  <si>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</si>
  <si>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</si>
  <si>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</si>
  <si>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</si>
  <si>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</si>
  <si>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</si>
  <si>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</si>
  <si>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</si>
  <si>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</si>
  <si>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</si>
  <si>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</si>
  <si>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</si>
  <si>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</si>
  <si>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</si>
  <si>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</si>
  <si>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</si>
  <si>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</si>
  <si>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</si>
  <si>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</si>
  <si>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</si>
  <si>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</si>
  <si>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</si>
  <si>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</si>
  <si>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</si>
  <si>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</si>
  <si>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</si>
  <si>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</si>
  <si>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</si>
  <si>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</si>
  <si>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</si>
  <si>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</si>
  <si>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</si>
  <si>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</si>
  <si>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</si>
  <si>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</si>
  <si>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</si>
  <si>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</si>
  <si>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</si>
  <si>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</si>
  <si>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</si>
  <si>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</si>
  <si>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</si>
  <si>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</si>
  <si>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</si>
  <si>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</si>
  <si>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</si>
  <si>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</si>
  <si>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</si>
  <si>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</si>
  <si>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</si>
  <si>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</si>
  <si>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</si>
  <si>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</si>
  <si>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</si>
  <si>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</si>
  <si>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</si>
  <si>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</si>
  <si>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</si>
  <si>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</si>
  <si>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</si>
  <si>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</si>
  <si>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</si>
  <si>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</si>
  <si>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</si>
  <si>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</si>
  <si>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</si>
  <si>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</si>
  <si>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</si>
  <si>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</si>
  <si>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</si>
  <si>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</si>
  <si>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</si>
  <si>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</si>
  <si>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</si>
  <si>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</si>
  <si>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</si>
  <si>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</si>
  <si>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</si>
  <si>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</si>
  <si>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</si>
  <si>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</si>
  <si>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</si>
  <si>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</si>
  <si>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</si>
  <si>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</si>
  <si>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</si>
  <si>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</si>
  <si>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</si>
  <si>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</si>
  <si>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</si>
  <si>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</si>
  <si>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</si>
  <si>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</si>
  <si>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</si>
  <si>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</si>
  <si>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</si>
  <si>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</si>
  <si>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</si>
  <si>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</si>
  <si>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</si>
  <si>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</si>
  <si>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</si>
  <si>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</si>
  <si>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</si>
  <si>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</si>
  <si>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</si>
  <si>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</si>
  <si>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</si>
  <si>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</si>
  <si>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</si>
  <si>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</si>
  <si>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</si>
  <si>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</si>
  <si>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</si>
  <si>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</si>
  <si>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</si>
  <si>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</si>
  <si>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</si>
  <si>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</si>
  <si>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</si>
  <si>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</si>
  <si>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</si>
  <si>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</si>
  <si>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</si>
  <si>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</si>
  <si>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</si>
  <si>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</si>
  <si>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</si>
  <si>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</si>
  <si>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</si>
  <si>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</si>
  <si>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</si>
  <si>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</si>
  <si>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</si>
  <si>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</si>
  <si>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</si>
  <si>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</si>
  <si>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</si>
  <si>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</si>
  <si>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</si>
  <si>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</si>
  <si>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</si>
  <si>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</si>
  <si>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</si>
  <si>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</si>
  <si>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</si>
  <si>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</si>
  <si>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</si>
  <si>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</si>
  <si>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</si>
  <si>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</si>
  <si>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</si>
  <si>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</si>
  <si>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</si>
  <si>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</si>
  <si>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</si>
  <si>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</si>
  <si>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</si>
  <si>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</si>
  <si>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</si>
  <si>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</si>
  <si>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</si>
  <si>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</si>
  <si>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</si>
  <si>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</si>
  <si>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</si>
  <si>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</si>
  <si>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</si>
  <si>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</si>
  <si>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</si>
  <si>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</si>
  <si>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</si>
  <si>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</si>
  <si>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</si>
  <si>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</si>
  <si>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</si>
  <si>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</si>
  <si>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</si>
  <si>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</si>
  <si>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</si>
  <si>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</si>
  <si>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</si>
  <si>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</si>
  <si>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</si>
  <si>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</si>
  <si>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</si>
  <si>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</si>
  <si>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</si>
  <si>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</si>
  <si>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</si>
  <si>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</si>
  <si>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</si>
  <si>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</si>
  <si>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</si>
  <si>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</si>
  <si>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</si>
  <si>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</si>
  <si>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</si>
  <si>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</si>
  <si>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</si>
  <si>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</si>
  <si>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</si>
  <si>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</si>
  <si>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</si>
  <si>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</si>
  <si>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</si>
  <si>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</si>
  <si>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</si>
  <si>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</si>
  <si>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</si>
  <si>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</si>
  <si>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</si>
  <si>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</si>
  <si>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</si>
  <si>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</si>
  <si>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</si>
  <si>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</si>
  <si>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</si>
  <si>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</si>
  <si>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</si>
  <si>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</si>
  <si>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</si>
  <si>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</si>
  <si>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</si>
  <si>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</si>
  <si>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</si>
  <si>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</si>
  <si>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</si>
  <si>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</si>
  <si>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</si>
  <si>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</si>
  <si>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</si>
  <si>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</si>
  <si>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</si>
  <si>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</si>
  <si>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</si>
  <si>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</si>
  <si>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</si>
  <si>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</si>
  <si>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</si>
  <si>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</si>
  <si>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</si>
  <si>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</si>
  <si>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</si>
  <si>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</si>
  <si>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</si>
  <si>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</si>
  <si>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</si>
  <si>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</si>
  <si>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</si>
  <si>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</si>
  <si>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</si>
  <si>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</si>
  <si>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</si>
  <si>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</si>
  <si>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</si>
  <si>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</si>
  <si>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</si>
  <si>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</si>
  <si>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</si>
  <si>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</si>
  <si>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</si>
  <si>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</si>
  <si>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</si>
  <si>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</si>
  <si>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</si>
  <si>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</si>
  <si>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</si>
  <si>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</si>
  <si>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</si>
  <si>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</si>
  <si>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</si>
  <si>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</si>
  <si>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</si>
  <si>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</si>
  <si>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</si>
  <si>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</si>
  <si>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</si>
  <si>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</si>
  <si>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</si>
  <si>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</si>
  <si>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</si>
  <si>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</si>
  <si>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</si>
  <si>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</si>
  <si>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</si>
  <si>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</si>
  <si>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</si>
  <si>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</si>
  <si>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</si>
  <si>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</si>
  <si>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</si>
  <si>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</si>
  <si>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</si>
  <si>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</si>
  <si>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</si>
  <si>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</si>
  <si>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</si>
  <si>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</si>
  <si>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</si>
  <si>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</si>
  <si>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</si>
  <si>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</si>
  <si>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</si>
  <si>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</si>
  <si>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</si>
  <si>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</si>
  <si>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</si>
  <si>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</si>
  <si>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</si>
  <si>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</si>
  <si>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</si>
  <si>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</si>
  <si>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</si>
  <si>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</si>
  <si>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</si>
  <si>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</si>
  <si>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</si>
  <si>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</si>
  <si>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</si>
  <si>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</si>
  <si>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</si>
  <si>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</si>
  <si>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</si>
  <si>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</si>
  <si>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</si>
  <si>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</si>
  <si>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</si>
  <si>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</si>
  <si>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</si>
  <si>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</si>
  <si>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</si>
  <si>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</si>
  <si>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</si>
  <si>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</si>
  <si>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</si>
  <si>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</si>
  <si>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</si>
  <si>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</si>
  <si>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</si>
  <si>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</si>
  <si>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</si>
  <si>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</si>
  <si>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</si>
  <si>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</si>
  <si>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</si>
  <si>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</si>
  <si>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</si>
  <si>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</si>
  <si>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</si>
  <si>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</si>
  <si>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</si>
  <si>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</si>
  <si>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</si>
  <si>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</si>
  <si>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</si>
  <si>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</si>
  <si>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</si>
  <si>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</si>
  <si>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</si>
  <si>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</si>
  <si>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</si>
  <si>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</si>
  <si>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</si>
  <si>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</si>
  <si>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</si>
  <si>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</si>
  <si>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</si>
  <si>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</si>
  <si>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</si>
  <si>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</si>
  <si>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</si>
  <si>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</si>
  <si>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</si>
  <si>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</si>
  <si>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</si>
  <si>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</si>
  <si>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</si>
  <si>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</si>
  <si>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</si>
  <si>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</si>
  <si>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</si>
  <si>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</si>
  <si>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</si>
  <si>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</si>
  <si>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</si>
  <si>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</si>
  <si>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</si>
  <si>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</si>
  <si>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</si>
  <si>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</si>
  <si>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</si>
  <si>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</si>
  <si>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</si>
  <si>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</si>
  <si>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</si>
  <si>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</si>
  <si>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</si>
  <si>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</si>
  <si>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</si>
  <si>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</si>
  <si>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</si>
  <si>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</si>
  <si>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</si>
  <si>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</si>
  <si>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</si>
  <si>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</si>
  <si>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</si>
  <si>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</si>
  <si>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</si>
  <si>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</si>
  <si>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</si>
  <si>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</si>
  <si>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</si>
  <si>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</si>
  <si>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</si>
  <si>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</si>
  <si>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</si>
  <si>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</si>
  <si>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</si>
  <si>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</si>
  <si>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</si>
  <si>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</si>
  <si>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</si>
  <si>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</si>
  <si>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</si>
  <si>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</si>
  <si>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</si>
  <si>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</si>
  <si>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</si>
  <si>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</si>
  <si>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</si>
  <si>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</si>
  <si>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</si>
  <si>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</si>
  <si>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</si>
  <si>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</si>
  <si>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</si>
  <si>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</si>
  <si>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</si>
  <si>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</si>
  <si>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</si>
  <si>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</si>
  <si>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</si>
  <si>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</si>
  <si>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</si>
  <si>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</si>
  <si>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</si>
  <si>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</si>
  <si>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</si>
  <si>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</si>
  <si>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</si>
  <si>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</si>
  <si>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</si>
  <si>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</si>
  <si>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</si>
  <si>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</si>
  <si>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</si>
  <si>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</si>
  <si>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</si>
  <si>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</si>
  <si>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</si>
  <si>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</si>
  <si>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</si>
  <si>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</si>
  <si>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</si>
  <si>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</si>
  <si>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</si>
  <si>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</si>
  <si>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</si>
  <si>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</si>
  <si>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</si>
  <si>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</si>
  <si>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</si>
  <si>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</si>
  <si>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</si>
  <si>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</si>
  <si>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</si>
  <si>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</si>
  <si>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</si>
  <si>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</si>
  <si>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</si>
  <si>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</si>
  <si>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</si>
  <si>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</si>
  <si>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</si>
  <si>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</si>
  <si>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</si>
  <si>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</si>
  <si>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</si>
  <si>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</si>
  <si>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</si>
  <si>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</si>
  <si>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</si>
  <si>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</si>
  <si>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</si>
  <si>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</si>
  <si>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</si>
  <si>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</si>
  <si>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</si>
  <si>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</si>
  <si>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</si>
  <si>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</si>
  <si>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</si>
  <si>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</si>
  <si>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</si>
  <si>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</si>
  <si>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</si>
  <si>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</si>
  <si>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</si>
  <si>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</si>
  <si>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</si>
  <si>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</si>
  <si>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</si>
  <si>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</si>
  <si>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</si>
  <si>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</si>
  <si>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</si>
  <si>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</si>
  <si>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</si>
  <si>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</si>
  <si>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</si>
  <si>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</si>
  <si>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</si>
  <si>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</si>
  <si>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</si>
  <si>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</si>
  <si>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</si>
  <si>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</si>
  <si>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</si>
  <si>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</si>
  <si>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</si>
  <si>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</si>
  <si>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</si>
  <si>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</si>
  <si>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</si>
  <si>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</si>
  <si>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</si>
  <si>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</si>
  <si>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</si>
  <si>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</si>
  <si>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</si>
  <si>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</si>
  <si>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</si>
  <si>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</si>
  <si>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</si>
  <si>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</si>
  <si>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</si>
  <si>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</si>
  <si>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</si>
  <si>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</si>
  <si>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</si>
  <si>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</si>
  <si>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</si>
  <si>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</si>
  <si>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</si>
  <si>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</si>
  <si>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</si>
  <si>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</si>
  <si>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</si>
  <si>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</si>
  <si>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</si>
  <si>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</si>
  <si>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</si>
  <si>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</si>
  <si>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</si>
  <si>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</si>
  <si>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</si>
  <si>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</si>
  <si>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</si>
  <si>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</si>
  <si>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</si>
  <si>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</si>
  <si>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</si>
  <si>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</si>
  <si>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</si>
  <si>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</si>
  <si>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</si>
  <si>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</si>
  <si>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</si>
  <si>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</si>
  <si>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</si>
  <si>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</si>
  <si>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</si>
  <si>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</si>
  <si>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</si>
  <si>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</si>
  <si>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</si>
  <si>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</si>
  <si>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</si>
  <si>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</si>
  <si>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</si>
  <si>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</si>
  <si>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</si>
  <si>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</si>
  <si>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</si>
  <si>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</si>
  <si>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</si>
  <si>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</si>
  <si>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</si>
  <si>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</si>
  <si>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</si>
  <si>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</si>
  <si>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</si>
  <si>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</si>
  <si>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</si>
  <si>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</si>
  <si>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</si>
  <si>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</si>
  <si>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</si>
  <si>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</si>
  <si>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</si>
  <si>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</si>
  <si>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</si>
  <si>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</si>
  <si>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</si>
  <si>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</si>
  <si>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</si>
  <si>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</si>
  <si>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</si>
  <si>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</si>
  <si>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</si>
  <si>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</si>
  <si>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</si>
  <si>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</si>
  <si>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</si>
  <si>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</si>
  <si>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</si>
  <si>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</si>
  <si>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</si>
  <si>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</si>
  <si>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</si>
  <si>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</si>
  <si>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</si>
  <si>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</si>
  <si>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</si>
  <si>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</si>
  <si>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</si>
  <si>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</si>
  <si>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</si>
  <si>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</si>
  <si>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</si>
  <si>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</si>
  <si>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</si>
  <si>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</si>
  <si>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</si>
  <si>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</si>
  <si>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</si>
  <si>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</si>
  <si>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</si>
  <si>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</si>
  <si>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</si>
  <si>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</si>
  <si>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</si>
  <si>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</si>
  <si>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</si>
  <si>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</si>
  <si>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</si>
  <si>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</si>
  <si>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</si>
  <si>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</si>
  <si>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</si>
  <si>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</si>
  <si>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</si>
  <si>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</si>
  <si>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</si>
  <si>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</si>
  <si>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</si>
  <si>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</si>
  <si>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</si>
  <si>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</si>
  <si>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</si>
  <si>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</si>
  <si>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</si>
  <si>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</si>
  <si>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</si>
  <si>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</si>
  <si>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</si>
  <si>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</si>
  <si>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</si>
  <si>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</si>
  <si>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</si>
  <si>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</si>
  <si>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</si>
  <si>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</si>
  <si>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</si>
  <si>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</si>
  <si>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</si>
  <si>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</si>
  <si>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</si>
  <si>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</si>
  <si>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</si>
  <si>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</si>
  <si>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</si>
  <si>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</si>
  <si>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</si>
  <si>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</si>
  <si>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</si>
  <si>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</si>
  <si>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</si>
  <si>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</si>
  <si>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</si>
  <si>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</si>
  <si>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</si>
  <si>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</si>
  <si>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</si>
  <si>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</si>
  <si>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</si>
  <si>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</si>
  <si>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</si>
  <si>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</si>
  <si>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</si>
  <si>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</si>
  <si>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</si>
  <si>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</si>
  <si>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</si>
  <si>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</si>
  <si>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</si>
  <si>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</si>
  <si>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</si>
  <si>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</si>
  <si>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</si>
  <si>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</si>
  <si>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</si>
  <si>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</si>
  <si>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</si>
  <si>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</si>
  <si>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</si>
  <si>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</si>
  <si>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</si>
  <si>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</si>
  <si>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</si>
  <si>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</si>
  <si>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</si>
  <si>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</si>
  <si>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</si>
  <si>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</si>
  <si>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</si>
  <si>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</si>
  <si>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</si>
  <si>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</si>
  <si>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</si>
  <si>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</si>
  <si>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</si>
  <si>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</si>
  <si>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</si>
  <si>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</si>
  <si>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</si>
  <si>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</si>
  <si>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</si>
  <si>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</si>
  <si>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</si>
  <si>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</si>
  <si>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</si>
  <si>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</si>
  <si>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</si>
  <si>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</si>
  <si>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</si>
  <si>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</si>
  <si>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</si>
  <si>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</si>
  <si>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</si>
  <si>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</si>
  <si>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</si>
  <si>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</si>
  <si>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</si>
  <si>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</si>
  <si>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</si>
  <si>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</si>
  <si>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</si>
  <si>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</si>
  <si>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</si>
  <si>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</si>
  <si>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</si>
  <si>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</si>
  <si>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</si>
  <si>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</si>
  <si>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</si>
  <si>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</si>
  <si>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</si>
  <si>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</si>
  <si>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</si>
  <si>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</si>
  <si>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</si>
  <si>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</si>
  <si>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</si>
  <si>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</si>
  <si>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</si>
  <si>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</si>
  <si>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</si>
  <si>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</si>
  <si>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</si>
  <si>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</si>
  <si>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</si>
  <si>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</si>
  <si>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</si>
  <si>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</si>
  <si>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</si>
  <si>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</si>
  <si>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</si>
  <si>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</si>
  <si>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</si>
  <si>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</si>
  <si>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</si>
  <si>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</si>
  <si>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</si>
  <si>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</si>
  <si>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</si>
  <si>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</si>
  <si>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</si>
  <si>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</si>
  <si>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</si>
  <si>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</si>
  <si>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</si>
  <si>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</si>
  <si>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</si>
  <si>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</si>
  <si>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</si>
  <si>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</si>
  <si>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</si>
  <si>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</si>
  <si>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</si>
  <si>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</si>
  <si>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</si>
  <si>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</si>
  <si>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</si>
  <si>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</si>
  <si>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</si>
  <si>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</si>
  <si>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</si>
  <si>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</si>
  <si>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</si>
  <si>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</si>
  <si>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</si>
  <si>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</si>
  <si>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</si>
  <si>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</si>
  <si>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</si>
  <si>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</si>
  <si>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</si>
  <si>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</si>
  <si>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</si>
  <si>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</si>
  <si>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</si>
  <si>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</si>
  <si>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</si>
  <si>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</si>
  <si>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</si>
  <si>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</si>
  <si>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</si>
  <si>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</si>
  <si>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</si>
  <si>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</si>
  <si>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</si>
  <si>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</si>
  <si>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</si>
  <si>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</si>
  <si>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</si>
  <si>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</si>
  <si>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</si>
  <si>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</si>
  <si>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</si>
  <si>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</si>
  <si>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</si>
  <si>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</si>
  <si>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</si>
  <si>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</si>
  <si>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</si>
  <si>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</si>
  <si>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</si>
  <si>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</si>
  <si>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</si>
  <si>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</si>
  <si>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</si>
  <si>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</si>
  <si>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</si>
  <si>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</si>
  <si>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</si>
  <si>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</si>
  <si>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</si>
  <si>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</si>
  <si>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</si>
  <si>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</si>
  <si>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</si>
  <si>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</si>
  <si>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</si>
  <si>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</si>
  <si>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</si>
  <si>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</si>
  <si>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</si>
  <si>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</si>
  <si>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</si>
  <si>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</si>
  <si>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</si>
  <si>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</si>
  <si>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</si>
  <si>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</si>
  <si>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</si>
  <si>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</si>
  <si>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</si>
  <si>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</si>
  <si>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</si>
  <si>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</si>
  <si>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</si>
  <si>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</si>
  <si>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</si>
  <si>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</si>
  <si>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</si>
  <si>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</si>
  <si>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</si>
  <si>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</si>
  <si>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</si>
  <si>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</si>
  <si>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</si>
  <si>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</si>
  <si>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</si>
  <si>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</si>
  <si>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</si>
  <si>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</si>
  <si>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</si>
  <si>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</si>
  <si>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</si>
  <si>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</si>
  <si>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</si>
  <si>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</si>
  <si>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</si>
  <si>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</si>
  <si>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</si>
  <si>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</si>
  <si>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</si>
  <si>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</si>
  <si>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</si>
  <si>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</si>
  <si>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</si>
  <si>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</si>
  <si>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</si>
  <si>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</si>
  <si>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</si>
  <si>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</si>
  <si>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</si>
  <si>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</si>
  <si>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</si>
  <si>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</si>
  <si>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</si>
  <si>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</si>
  <si>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</si>
  <si>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</si>
  <si>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</si>
  <si>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</si>
  <si>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</si>
  <si>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</si>
  <si>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</si>
  <si>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</si>
  <si>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</si>
  <si>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</si>
  <si>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</si>
  <si>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</si>
  <si>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</si>
  <si>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</si>
  <si>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</si>
  <si>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</si>
  <si>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</si>
  <si>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</si>
  <si>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</si>
  <si>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</si>
  <si>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</si>
  <si>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</si>
  <si>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</si>
  <si>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</si>
  <si>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</si>
  <si>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</si>
  <si>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</si>
  <si>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</si>
  <si>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</si>
  <si>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</si>
  <si>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</si>
  <si>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</si>
  <si>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</si>
  <si>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</si>
  <si>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</si>
  <si>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</si>
  <si>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</si>
  <si>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</si>
  <si>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</si>
  <si>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</si>
  <si>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</si>
  <si>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</si>
  <si>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</si>
  <si>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</si>
  <si>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</si>
  <si>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</si>
  <si>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</si>
  <si>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</si>
  <si>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</si>
  <si>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</si>
  <si>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</si>
  <si>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</si>
  <si>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</si>
  <si>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</si>
  <si>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</si>
  <si>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</si>
  <si>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</si>
  <si>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</si>
  <si>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</si>
  <si>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</si>
  <si>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</si>
  <si>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</si>
  <si>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</si>
  <si>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</si>
  <si>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</si>
  <si>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</si>
  <si>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</si>
  <si>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</si>
  <si>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</si>
  <si>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</si>
  <si>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</si>
  <si>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</si>
  <si>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</si>
  <si>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</si>
  <si>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</si>
  <si>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</si>
  <si>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</si>
  <si>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</si>
  <si>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</si>
  <si>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</si>
  <si>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</si>
  <si>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</si>
  <si>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</si>
  <si>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</si>
  <si>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</si>
  <si>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</si>
  <si>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</si>
  <si>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</si>
  <si>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</si>
  <si>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</si>
  <si>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</si>
  <si>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</si>
  <si>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</si>
  <si>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</si>
  <si>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</si>
  <si>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</si>
  <si>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</si>
  <si>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</si>
  <si>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</si>
  <si>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</si>
  <si>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</si>
  <si>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</si>
  <si>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</si>
  <si>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</si>
  <si>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</si>
  <si>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</si>
  <si>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</si>
  <si>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</si>
  <si>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</si>
  <si>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</si>
  <si>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</si>
  <si>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</si>
  <si>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</si>
  <si>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</si>
  <si>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</si>
  <si>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</si>
  <si>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</si>
  <si>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</si>
  <si>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</si>
  <si>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</si>
  <si>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</si>
  <si>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</si>
  <si>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</si>
  <si>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</si>
  <si>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</si>
  <si>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</si>
  <si>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</si>
  <si>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</si>
  <si>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</si>
  <si>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</si>
  <si>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</si>
  <si>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</si>
  <si>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</si>
  <si>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</si>
  <si>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</si>
  <si>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</si>
  <si>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</si>
  <si>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</si>
  <si>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</si>
  <si>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</si>
  <si>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</si>
  <si>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</si>
  <si>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</si>
  <si>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</si>
  <si>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</si>
  <si>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</si>
  <si>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</si>
  <si>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</si>
  <si>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</si>
  <si>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</si>
  <si>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</si>
  <si>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</si>
  <si>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</si>
  <si>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</si>
  <si>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</si>
  <si>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</si>
  <si>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</si>
  <si>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</si>
  <si>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</si>
  <si>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</si>
  <si>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</si>
  <si>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</si>
  <si>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</si>
  <si>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</si>
  <si>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</si>
  <si>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</si>
  <si>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</si>
  <si>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</si>
  <si>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</si>
  <si>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</si>
  <si>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</si>
  <si>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</si>
  <si>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</si>
  <si>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</si>
  <si>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</si>
  <si>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</si>
  <si>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</si>
  <si>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</si>
  <si>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</si>
  <si>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</si>
  <si>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</si>
  <si>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</si>
  <si>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</si>
  <si>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</si>
  <si>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</si>
  <si>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</si>
  <si>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</si>
  <si>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</si>
  <si>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</si>
  <si>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</si>
  <si>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</si>
  <si>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</si>
  <si>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</si>
  <si>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</si>
  <si>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</si>
  <si>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</si>
  <si>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</si>
  <si>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</si>
  <si>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</si>
  <si>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</si>
  <si>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</si>
  <si>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</si>
  <si>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</si>
  <si>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</si>
  <si>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</si>
  <si>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</si>
  <si>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</si>
  <si>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</si>
  <si>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</si>
  <si>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</si>
  <si>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</si>
  <si>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</si>
  <si>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</si>
  <si>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</si>
  <si>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</si>
  <si>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</si>
  <si>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</si>
  <si>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</si>
  <si>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</si>
  <si>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</si>
  <si>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</si>
  <si>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</si>
  <si>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</si>
  <si>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</si>
  <si>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</si>
  <si>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</si>
  <si>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</si>
  <si>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</si>
  <si>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</si>
  <si>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</si>
  <si>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</si>
  <si>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</si>
  <si>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</si>
  <si>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</si>
  <si>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</si>
  <si>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</si>
  <si>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</si>
  <si>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</si>
  <si>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</si>
  <si>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</si>
  <si>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</si>
  <si>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</si>
  <si>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</si>
  <si>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</si>
  <si>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</si>
  <si>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</si>
  <si>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</si>
  <si>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</si>
  <si>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</si>
  <si>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</si>
  <si>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</si>
  <si>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</si>
  <si>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</si>
  <si>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</si>
  <si>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</si>
  <si>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</si>
  <si>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</si>
  <si>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</si>
  <si>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</si>
  <si>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</si>
  <si>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</si>
  <si>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</si>
  <si>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</si>
  <si>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</si>
  <si>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</si>
  <si>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</si>
  <si>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</si>
  <si>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</si>
  <si>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</si>
  <si>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</si>
  <si>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</si>
  <si>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</si>
  <si>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</si>
  <si>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</si>
  <si>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</si>
  <si>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</si>
  <si>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</si>
  <si>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</si>
  <si>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</si>
  <si>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</si>
  <si>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</si>
  <si>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</si>
  <si>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</si>
  <si>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</si>
  <si>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</si>
  <si>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</si>
  <si>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</si>
  <si>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</si>
  <si>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</si>
  <si>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</si>
  <si>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</si>
  <si>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</si>
  <si>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</si>
  <si>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</si>
  <si>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</si>
  <si>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</si>
  <si>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</si>
  <si>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</si>
  <si>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</si>
  <si>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</si>
  <si>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</si>
  <si>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</si>
  <si>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</si>
  <si>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</si>
  <si>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</si>
  <si>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</si>
  <si>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</si>
  <si>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</si>
  <si>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</si>
  <si>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</si>
  <si>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</si>
  <si>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</si>
  <si>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</si>
  <si>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</si>
  <si>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</si>
  <si>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</si>
  <si>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</si>
  <si>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</si>
  <si>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</si>
  <si>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</si>
  <si>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</si>
  <si>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</si>
  <si>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</si>
  <si>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</si>
  <si>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</si>
  <si>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</si>
  <si>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</si>
  <si>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</si>
  <si>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</si>
  <si>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</si>
  <si>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</si>
  <si>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</si>
  <si>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</si>
  <si>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</si>
  <si>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</si>
  <si>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</si>
  <si>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</si>
  <si>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</si>
  <si>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</si>
  <si>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</si>
  <si>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</si>
  <si>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</si>
  <si>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</si>
  <si>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</si>
  <si>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</si>
  <si>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</si>
  <si>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</si>
  <si>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</si>
  <si>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</si>
  <si>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</si>
  <si>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</si>
  <si>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</si>
  <si>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</si>
  <si>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</si>
  <si>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</si>
  <si>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</si>
  <si>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</si>
  <si>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</si>
  <si>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</si>
  <si>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</si>
  <si>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</si>
  <si>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</si>
  <si>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</si>
  <si>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</si>
  <si>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</si>
  <si>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</si>
  <si>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</si>
  <si>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</si>
  <si>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</si>
  <si>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</si>
  <si>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</si>
  <si>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</si>
  <si>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</si>
  <si>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</si>
  <si>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</si>
  <si>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</si>
  <si>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</si>
  <si>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</si>
  <si>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</si>
  <si>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</si>
  <si>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</si>
  <si>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</si>
  <si>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</si>
  <si>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</si>
  <si>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</si>
  <si>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</si>
  <si>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</si>
  <si>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</si>
  <si>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</si>
  <si>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</si>
  <si>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</si>
  <si>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</si>
  <si>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</si>
  <si>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</si>
  <si>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</si>
  <si>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</si>
  <si>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</si>
  <si>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</si>
  <si>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</si>
  <si>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</si>
  <si>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</si>
  <si>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</si>
  <si>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</si>
  <si>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</si>
  <si>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</si>
  <si>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</si>
  <si>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</si>
  <si>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</si>
  <si>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</si>
  <si>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</si>
  <si>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</si>
  <si>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</si>
  <si>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</si>
  <si>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</si>
  <si>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</si>
  <si>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</si>
  <si>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</si>
  <si>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</si>
  <si>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</si>
  <si>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</si>
  <si>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</si>
  <si>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</si>
  <si>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</si>
  <si>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</si>
  <si>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</si>
  <si>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</si>
  <si>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</si>
  <si>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</si>
  <si>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</si>
  <si>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</si>
  <si>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</si>
  <si>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</si>
  <si>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</si>
  <si>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</si>
  <si>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</si>
  <si>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</si>
  <si>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</si>
  <si>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</si>
  <si>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</si>
  <si>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</si>
  <si>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</si>
  <si>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</si>
  <si>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</si>
  <si>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</si>
  <si>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</si>
  <si>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</si>
  <si>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</si>
  <si>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</si>
  <si>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</si>
  <si>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</si>
  <si>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</si>
  <si>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</si>
  <si>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</si>
  <si>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</si>
  <si>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</si>
  <si>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</si>
  <si>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</si>
  <si>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</si>
  <si>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</si>
  <si>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</si>
  <si>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</si>
  <si>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</si>
  <si>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</si>
  <si>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</si>
  <si>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</si>
  <si>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</si>
  <si>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</si>
  <si>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</si>
  <si>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</si>
  <si>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</si>
  <si>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</si>
  <si>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</si>
  <si>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</si>
  <si>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</si>
  <si>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</si>
  <si>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</si>
  <si>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</si>
  <si>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</si>
  <si>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</si>
  <si>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</si>
  <si>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</si>
  <si>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</si>
  <si>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</si>
  <si>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</si>
  <si>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</si>
  <si>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</si>
  <si>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</si>
  <si>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</si>
  <si>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</si>
  <si>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</si>
  <si>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</si>
  <si>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</si>
  <si>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</si>
  <si>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</si>
  <si>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</si>
  <si>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</si>
  <si>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</si>
  <si>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</si>
  <si>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</si>
  <si>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</si>
  <si>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</si>
  <si>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</si>
  <si>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</si>
  <si>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</si>
  <si>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</si>
  <si>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</si>
  <si>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</si>
  <si>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</si>
  <si>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</si>
  <si>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</si>
  <si>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</si>
  <si>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</si>
  <si>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</si>
  <si>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</si>
  <si>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</si>
  <si>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</si>
  <si>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</si>
  <si>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</si>
  <si>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</si>
  <si>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</si>
  <si>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</si>
  <si>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</si>
  <si>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</si>
  <si>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</si>
  <si>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</si>
  <si>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</si>
  <si>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</si>
  <si>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</si>
  <si>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</si>
  <si>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</si>
  <si>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</si>
  <si>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</si>
  <si>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</si>
  <si>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</si>
  <si>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</si>
  <si>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</si>
  <si>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</si>
  <si>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</si>
  <si>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</si>
  <si>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</si>
  <si>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</si>
  <si>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</si>
  <si>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</si>
  <si>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</si>
  <si>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</si>
  <si>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</si>
  <si>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</si>
  <si>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</si>
  <si>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</si>
  <si>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</si>
  <si>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</si>
  <si>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</si>
  <si>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</si>
  <si>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</si>
  <si>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</si>
  <si>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</si>
  <si>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</si>
  <si>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</si>
  <si>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</si>
  <si>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</si>
  <si>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</si>
  <si>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</si>
  <si>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</si>
  <si>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</si>
  <si>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</si>
  <si>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</si>
  <si>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</si>
  <si>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</si>
  <si>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</si>
  <si>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</si>
  <si>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</si>
  <si>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</si>
  <si>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</si>
  <si>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</si>
  <si>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</si>
  <si>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</si>
  <si>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</si>
  <si>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</si>
  <si>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</si>
  <si>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</si>
  <si>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</si>
  <si>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</si>
  <si>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</si>
  <si>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</si>
  <si>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</si>
  <si>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</si>
  <si>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</si>
  <si>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</si>
  <si>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</si>
  <si>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</si>
  <si>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</si>
  <si>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</si>
  <si>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</si>
  <si>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</si>
  <si>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</si>
  <si>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</si>
  <si>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</si>
  <si>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</si>
  <si>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</si>
  <si>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</si>
  <si>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</si>
  <si>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</si>
  <si>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</si>
  <si>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</si>
  <si>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</si>
  <si>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</si>
  <si>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</si>
  <si>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</si>
  <si>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</si>
  <si>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</si>
  <si>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</si>
  <si>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</si>
  <si>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</si>
  <si>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</si>
  <si>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</si>
  <si>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</si>
  <si>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</si>
  <si>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</si>
  <si>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</si>
  <si>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</si>
  <si>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</si>
  <si>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</si>
  <si>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</si>
  <si>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</si>
  <si>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</si>
  <si>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</si>
  <si>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</si>
  <si>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</si>
  <si>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</si>
  <si>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</si>
  <si>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</si>
  <si>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</si>
  <si>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</si>
  <si>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</si>
  <si>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</si>
  <si>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</si>
  <si>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</si>
  <si>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</si>
  <si>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</si>
  <si>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</si>
  <si>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</si>
  <si>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</si>
  <si>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</si>
  <si>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</si>
  <si>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</si>
  <si>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</si>
  <si>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</si>
  <si>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</si>
  <si>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</si>
  <si>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</si>
  <si>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</si>
  <si>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</si>
  <si>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</si>
  <si>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</si>
  <si>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</si>
  <si>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</si>
  <si>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</si>
  <si>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</si>
  <si>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</si>
  <si>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</si>
  <si>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</si>
  <si>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</si>
  <si>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</si>
  <si>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</si>
  <si>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</si>
  <si>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</si>
  <si>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</si>
  <si>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</si>
  <si>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</si>
  <si>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</si>
  <si>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</si>
  <si>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</si>
  <si>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</si>
  <si>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</si>
  <si>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</si>
  <si>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</si>
  <si>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</si>
  <si>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</si>
  <si>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</si>
  <si>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</si>
  <si>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</si>
  <si>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</si>
  <si>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</si>
  <si>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</si>
  <si>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</si>
  <si>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</si>
  <si>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</si>
  <si>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</si>
  <si>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</si>
  <si>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</si>
  <si>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</si>
  <si>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</si>
  <si>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</si>
  <si>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</si>
  <si>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</si>
  <si>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</si>
  <si>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</si>
  <si>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</si>
  <si>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</si>
  <si>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</si>
  <si>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</si>
  <si>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</si>
  <si>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</si>
  <si>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</si>
  <si>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</si>
  <si>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</si>
  <si>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</si>
  <si>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</si>
  <si>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</si>
  <si>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</si>
  <si>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</si>
  <si>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</si>
  <si>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</si>
  <si>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</si>
  <si>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</si>
  <si>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</si>
  <si>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</si>
  <si>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</si>
  <si>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</si>
  <si>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</si>
  <si>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</si>
  <si>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</si>
  <si>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</si>
  <si>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</si>
  <si>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</si>
  <si>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</si>
  <si>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</si>
  <si>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</si>
  <si>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</si>
  <si>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</si>
  <si>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</si>
  <si>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</si>
  <si>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</si>
  <si>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</si>
  <si>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</si>
  <si>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</si>
  <si>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</si>
  <si>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</si>
  <si>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</si>
  <si>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</si>
  <si>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</si>
  <si>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</si>
  <si>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</si>
  <si>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</si>
  <si>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</si>
  <si>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</si>
  <si>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</si>
  <si>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</si>
  <si>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</si>
  <si>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</si>
  <si>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</si>
  <si>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</si>
  <si>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</si>
  <si>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</si>
  <si>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</si>
  <si>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</si>
  <si>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</si>
  <si>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</si>
  <si>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</si>
  <si>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</si>
  <si>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</si>
  <si>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</si>
  <si>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</si>
  <si>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</si>
  <si>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</si>
  <si>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</si>
  <si>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</si>
  <si>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</si>
  <si>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</si>
  <si>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</si>
  <si>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</si>
  <si>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</si>
  <si>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</si>
  <si>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</si>
  <si>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</si>
  <si>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</si>
  <si>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</si>
  <si>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</si>
  <si>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</si>
  <si>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</si>
  <si>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</si>
  <si>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</si>
  <si>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</si>
  <si>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</si>
  <si>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</si>
  <si>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</si>
  <si>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</si>
  <si>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</si>
  <si>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</si>
  <si>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</si>
  <si>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</si>
  <si>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</si>
  <si>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</si>
  <si>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</si>
  <si>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</si>
  <si>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</si>
  <si>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</si>
  <si>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</si>
  <si>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</si>
  <si>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</si>
  <si>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</si>
  <si>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</si>
  <si>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</si>
  <si>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</si>
  <si>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</si>
  <si>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</si>
  <si>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</si>
  <si>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</si>
  <si>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</si>
  <si>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</si>
  <si>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</si>
  <si>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</si>
  <si>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</si>
  <si>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</si>
  <si>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</si>
  <si>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</si>
  <si>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</si>
  <si>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</si>
  <si>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</si>
  <si>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</si>
  <si>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</si>
  <si>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</si>
  <si>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</si>
  <si>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</si>
  <si>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</si>
  <si>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</si>
  <si>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</si>
  <si>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</si>
  <si>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</si>
  <si>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</si>
  <si>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</si>
  <si>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</si>
  <si>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</si>
  <si>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</si>
  <si>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</si>
  <si>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</si>
  <si>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</si>
  <si>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</si>
  <si>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</si>
  <si>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</si>
  <si>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</si>
  <si>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</si>
  <si>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</si>
  <si>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</si>
  <si>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</si>
  <si>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</si>
  <si>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</si>
  <si>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</si>
  <si>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</si>
  <si>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</si>
  <si>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</si>
  <si>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</si>
  <si>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</si>
  <si>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</si>
  <si>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</si>
  <si>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</si>
  <si>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</si>
  <si>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</si>
  <si>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</si>
  <si>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</si>
  <si>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</si>
  <si>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</si>
  <si>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</si>
  <si>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</si>
  <si>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</si>
  <si>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</si>
  <si>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</si>
  <si>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</si>
  <si>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</si>
  <si>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</si>
  <si>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</si>
  <si>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</si>
  <si>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</si>
  <si>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</si>
  <si>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</si>
  <si>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</si>
  <si>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</si>
  <si>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</si>
  <si>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</si>
  <si>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</si>
  <si>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</si>
  <si>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</si>
  <si>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</si>
  <si>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</si>
  <si>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</si>
  <si>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</si>
  <si>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</si>
  <si>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</si>
  <si>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</si>
  <si>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</si>
  <si>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</si>
  <si>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</si>
  <si>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</si>
  <si>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</si>
  <si>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</si>
  <si>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</si>
  <si>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</si>
  <si>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</si>
  <si>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</si>
  <si>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</si>
  <si>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</si>
  <si>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</si>
  <si>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</si>
  <si>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</si>
  <si>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</si>
  <si>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</si>
  <si>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</si>
  <si>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</si>
  <si>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</si>
  <si>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</si>
  <si>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</si>
  <si>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</si>
  <si>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</si>
  <si>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</si>
  <si>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</si>
  <si>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</si>
  <si>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</si>
  <si>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</si>
  <si>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</si>
  <si>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</si>
  <si>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</si>
  <si>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</si>
  <si>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</si>
  <si>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</si>
  <si>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</si>
  <si>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</si>
  <si>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</si>
  <si>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</si>
  <si>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</si>
  <si>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</si>
  <si>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</si>
  <si>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</si>
  <si>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</si>
  <si>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</si>
  <si>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</si>
  <si>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</si>
  <si>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</si>
  <si>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</si>
  <si>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</si>
  <si>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</si>
  <si>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</si>
  <si>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</si>
  <si>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</si>
  <si>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</si>
  <si>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</si>
  <si>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</si>
  <si>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</si>
  <si>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</si>
  <si>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</si>
  <si>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</si>
  <si>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</si>
  <si>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</si>
  <si>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</si>
  <si>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</si>
  <si>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</si>
  <si>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</si>
  <si>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</si>
  <si>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</si>
  <si>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</si>
  <si>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</si>
  <si>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</si>
  <si>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</si>
  <si>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</si>
  <si>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</si>
  <si>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</si>
  <si>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</si>
  <si>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</si>
  <si>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</si>
  <si>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</si>
  <si>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</si>
  <si>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</si>
  <si>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</si>
  <si>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</si>
  <si>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</si>
  <si>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</si>
  <si>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</si>
  <si>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</si>
  <si>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</si>
  <si>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</si>
  <si>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</si>
  <si>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</si>
  <si>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</si>
  <si>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</si>
  <si>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</si>
  <si>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</si>
  <si>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</si>
  <si>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</si>
  <si>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</si>
  <si>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</si>
  <si>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</si>
  <si>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</si>
  <si>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</si>
  <si>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</si>
  <si>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</si>
  <si>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</si>
  <si>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</si>
  <si>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</si>
  <si>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</si>
  <si>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</si>
  <si>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</si>
  <si>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</si>
  <si>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</si>
  <si>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</si>
  <si>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</si>
  <si>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</si>
  <si>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</si>
  <si>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</si>
  <si>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</si>
  <si>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</si>
  <si>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</si>
  <si>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</si>
  <si>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</si>
  <si>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</si>
  <si>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</si>
  <si>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</si>
  <si>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</si>
  <si>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</si>
  <si>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</si>
  <si>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</si>
  <si>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</si>
  <si>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</si>
  <si>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</si>
  <si>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</si>
  <si>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</si>
  <si>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</si>
  <si>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</si>
  <si>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</si>
  <si>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</si>
  <si>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</si>
  <si>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</si>
  <si>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</si>
  <si>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</si>
  <si>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</si>
  <si>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</si>
  <si>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</si>
  <si>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</si>
  <si>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</si>
  <si>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</si>
  <si>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</si>
  <si>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</si>
  <si>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</si>
  <si>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</si>
  <si>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</si>
  <si>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</si>
  <si>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</si>
  <si>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</si>
  <si>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</si>
  <si>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</si>
  <si>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</si>
  <si>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</si>
  <si>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</si>
  <si>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</si>
  <si>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</si>
  <si>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</si>
  <si>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</si>
  <si>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</si>
  <si>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</si>
  <si>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</si>
  <si>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</si>
  <si>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</si>
  <si>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</si>
  <si>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</si>
  <si>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</si>
  <si>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</si>
  <si>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</si>
  <si>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</si>
  <si>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</si>
  <si>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</si>
  <si>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</si>
  <si>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</si>
  <si>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</si>
  <si>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</si>
  <si>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</si>
  <si>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</si>
  <si>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</si>
  <si>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</si>
  <si>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</si>
  <si>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</si>
  <si>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</si>
  <si>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</si>
  <si>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</si>
  <si>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</si>
  <si>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</si>
  <si>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</si>
  <si>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</si>
  <si>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</si>
  <si>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</si>
  <si>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</si>
  <si>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</si>
  <si>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</si>
  <si>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</si>
  <si>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</si>
  <si>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</si>
  <si>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</si>
  <si>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</si>
  <si>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</si>
  <si>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</si>
  <si>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</si>
  <si>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</si>
  <si>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</si>
  <si>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</si>
  <si>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</si>
  <si>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</si>
  <si>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</si>
  <si>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</si>
  <si>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</si>
  <si>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</si>
  <si>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</si>
  <si>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</si>
  <si>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</si>
  <si>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</si>
  <si>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</si>
  <si>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</si>
  <si>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</si>
  <si>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</si>
  <si>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</si>
  <si>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</si>
  <si>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</si>
  <si>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</si>
  <si>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</si>
  <si>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</si>
  <si>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</si>
  <si>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</si>
  <si>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</si>
  <si>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</si>
  <si>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</si>
  <si>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</si>
  <si>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</si>
  <si>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</si>
  <si>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</si>
  <si>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</si>
  <si>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</si>
  <si>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</si>
  <si>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</si>
  <si>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</si>
  <si>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</si>
  <si>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</si>
  <si>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</si>
  <si>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</si>
  <si>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</si>
  <si>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</si>
  <si>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</si>
  <si>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</si>
  <si>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</si>
  <si>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</si>
  <si>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</si>
  <si>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</si>
  <si>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</si>
  <si>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</si>
  <si>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</si>
  <si>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</si>
  <si>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</si>
  <si>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</si>
  <si>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</si>
  <si>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</si>
  <si>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</si>
  <si>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</si>
  <si>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</si>
  <si>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</si>
  <si>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</si>
  <si>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</si>
  <si>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</si>
  <si>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</si>
  <si>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</si>
  <si>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</si>
  <si>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</si>
  <si>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</si>
  <si>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</si>
  <si>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</si>
  <si>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</si>
  <si>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</si>
  <si>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</si>
  <si>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</si>
  <si>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</si>
  <si>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</si>
  <si>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</si>
  <si>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</si>
  <si>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</si>
  <si>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</si>
  <si>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</si>
  <si>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</si>
  <si>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</si>
  <si>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</si>
  <si>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</si>
  <si>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</si>
  <si>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</si>
  <si>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</si>
  <si>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</si>
  <si>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</si>
  <si>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</si>
  <si>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</si>
  <si>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</si>
  <si>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</si>
  <si>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</si>
  <si>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</si>
  <si>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</si>
  <si>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</si>
  <si>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</si>
  <si>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</si>
  <si>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</si>
  <si>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</si>
  <si>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</si>
  <si>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</si>
  <si>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</si>
  <si>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</si>
  <si>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</si>
  <si>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</si>
  <si>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</si>
  <si>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</si>
  <si>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</si>
  <si>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</si>
  <si>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</si>
  <si>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</si>
  <si>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</si>
  <si>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</si>
  <si>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</si>
  <si>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</si>
  <si>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</si>
  <si>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</si>
  <si>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</si>
  <si>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</si>
  <si>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</si>
  <si>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</si>
  <si>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</si>
  <si>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</si>
  <si>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</si>
  <si>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</si>
  <si>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</si>
  <si>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</si>
  <si>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</si>
  <si>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</si>
  <si>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</si>
  <si>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</si>
  <si>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</si>
  <si>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</si>
  <si>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</si>
  <si>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</si>
  <si>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</si>
  <si>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</si>
  <si>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</si>
  <si>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</si>
  <si>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</si>
  <si>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</si>
  <si>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</si>
  <si>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</si>
  <si>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</si>
  <si>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</si>
  <si>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</si>
  <si>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</si>
  <si>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</si>
  <si>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</si>
  <si>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</si>
  <si>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</si>
  <si>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</si>
  <si>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</si>
  <si>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</si>
  <si>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</si>
  <si>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</si>
  <si>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</si>
  <si>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</si>
  <si>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</si>
  <si>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</si>
  <si>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</si>
  <si>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</si>
  <si>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</si>
  <si>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</si>
  <si>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</si>
  <si>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</si>
  <si>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</si>
  <si>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</si>
  <si>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</si>
  <si>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</si>
  <si>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</si>
  <si>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</si>
  <si>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</si>
  <si>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</si>
  <si>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</si>
  <si>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</si>
  <si>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</si>
  <si>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</si>
  <si>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</si>
  <si>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</si>
  <si>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</si>
  <si>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</si>
  <si>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</si>
  <si>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</si>
  <si>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</si>
  <si>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</si>
  <si>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</si>
  <si>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</si>
  <si>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</si>
  <si>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</si>
  <si>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</si>
  <si>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</si>
  <si>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</si>
  <si>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</si>
  <si>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</si>
  <si>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</si>
  <si>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</si>
  <si>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</si>
  <si>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</si>
  <si>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</si>
  <si>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</si>
  <si>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</si>
  <si>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</si>
  <si>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</si>
  <si>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</si>
  <si>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</si>
  <si>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</si>
  <si>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</si>
  <si>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</si>
  <si>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</si>
  <si>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</si>
  <si>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</si>
  <si>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</si>
  <si>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</si>
  <si>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</si>
  <si>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</si>
  <si>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</si>
  <si>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</si>
  <si>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</si>
  <si>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</si>
  <si>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</si>
  <si>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</si>
  <si>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</si>
  <si>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</si>
  <si>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</si>
  <si>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</si>
  <si>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</si>
  <si>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</si>
  <si>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</si>
  <si>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</si>
  <si>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</si>
  <si>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</si>
  <si>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</si>
  <si>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</si>
  <si>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</si>
  <si>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</si>
  <si>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</si>
  <si>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</si>
  <si>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</si>
  <si>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</si>
  <si>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</si>
  <si>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</si>
  <si>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</si>
  <si>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</si>
  <si>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</si>
  <si>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</si>
  <si>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</si>
  <si>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</si>
  <si>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</si>
  <si>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</si>
  <si>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</si>
  <si>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</si>
  <si>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</si>
  <si>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</si>
  <si>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</si>
  <si>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</si>
  <si>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</si>
  <si>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</si>
  <si>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</si>
  <si>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</si>
  <si>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</si>
  <si>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</si>
  <si>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</si>
  <si>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</si>
  <si>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</si>
  <si>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</si>
  <si>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</si>
  <si>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</si>
  <si>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</si>
  <si>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</si>
  <si>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</si>
  <si>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</si>
  <si>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</si>
  <si>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</si>
  <si>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</si>
  <si>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</si>
  <si>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</si>
  <si>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</si>
  <si>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</si>
  <si>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</si>
  <si>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</si>
  <si>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</si>
  <si>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</si>
  <si>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</si>
  <si>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</si>
  <si>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</si>
  <si>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</si>
  <si>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</si>
  <si>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</si>
  <si>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</si>
  <si>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</si>
  <si>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</si>
  <si>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</si>
  <si>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</si>
  <si>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</si>
  <si>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</si>
  <si>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</si>
  <si>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</si>
  <si>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</si>
  <si>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</si>
  <si>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</si>
  <si>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</si>
  <si>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</si>
  <si>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</si>
  <si>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</si>
  <si>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</si>
  <si>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</si>
  <si>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</si>
  <si>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</si>
  <si>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</si>
  <si>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</si>
  <si>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</si>
  <si>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</si>
  <si>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</si>
  <si>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</si>
  <si>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</si>
  <si>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</si>
  <si>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</si>
  <si>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</si>
  <si>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</si>
  <si>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</si>
  <si>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</si>
  <si>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</si>
  <si>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</si>
  <si>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</si>
  <si>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</si>
  <si>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</si>
  <si>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</si>
  <si>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</si>
  <si>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</si>
  <si>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</si>
  <si>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</si>
  <si>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</si>
  <si>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</si>
  <si>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</si>
  <si>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</si>
  <si>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</si>
  <si>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</si>
  <si>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</si>
  <si>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</si>
  <si>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</si>
  <si>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</si>
  <si>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</si>
  <si>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</si>
  <si>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</si>
  <si>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</si>
  <si>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</si>
  <si>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</si>
  <si>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</si>
  <si>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</si>
  <si>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</si>
  <si>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</si>
  <si>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</si>
  <si>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</si>
  <si>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</si>
  <si>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</si>
  <si>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</si>
  <si>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</si>
  <si>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</si>
  <si>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</si>
  <si>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</si>
  <si>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</si>
  <si>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</si>
  <si>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</si>
  <si>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</si>
  <si>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</si>
  <si>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</si>
  <si>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</si>
  <si>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</si>
  <si>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</si>
  <si>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</si>
  <si>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</si>
  <si>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</si>
  <si>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</si>
  <si>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</si>
  <si>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</si>
  <si>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</si>
  <si>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</si>
  <si>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</si>
  <si>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</si>
  <si>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</si>
  <si>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</si>
  <si>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</si>
  <si>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</si>
  <si>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</si>
  <si>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</si>
  <si>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</si>
  <si>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</si>
  <si>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</si>
  <si>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</si>
  <si>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</si>
  <si>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</si>
  <si>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</si>
  <si>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</si>
  <si>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</si>
  <si>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</si>
  <si>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</si>
  <si>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</si>
  <si>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</si>
  <si>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</si>
  <si>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</si>
  <si>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</si>
  <si>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</si>
  <si>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</si>
  <si>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</si>
  <si>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</si>
  <si>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</si>
  <si>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</si>
  <si>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</si>
  <si>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</si>
  <si>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</si>
  <si>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</si>
  <si>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</si>
  <si>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</si>
  <si>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</si>
  <si>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</si>
  <si>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</si>
  <si>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</si>
  <si>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</si>
  <si>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</si>
  <si>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</si>
  <si>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</si>
  <si>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</si>
  <si>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</si>
  <si>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</si>
  <si>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</si>
  <si>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</si>
  <si>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</si>
  <si>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</si>
  <si>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</si>
  <si>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</si>
  <si>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</si>
  <si>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</si>
  <si>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</si>
  <si>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</si>
  <si>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</si>
  <si>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</si>
  <si>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</si>
  <si>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</si>
  <si>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</si>
  <si>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</si>
  <si>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</si>
  <si>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</si>
  <si>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</si>
  <si>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</si>
  <si>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</si>
  <si>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</si>
  <si>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</si>
  <si>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</si>
  <si>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</si>
  <si>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</si>
  <si>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</si>
  <si>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</si>
  <si>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</si>
  <si>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</si>
  <si>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</si>
  <si>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</si>
  <si>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</si>
  <si>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</si>
  <si>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</si>
  <si>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</si>
  <si>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</si>
  <si>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</si>
  <si>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</si>
  <si>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</si>
  <si>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</si>
  <si>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</si>
  <si>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</si>
  <si>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</si>
  <si>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</si>
  <si>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</si>
  <si>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</si>
  <si>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</si>
  <si>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</si>
  <si>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</si>
  <si>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</si>
  <si>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</si>
  <si>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</si>
  <si>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</si>
  <si>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</si>
  <si>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</si>
  <si>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</si>
  <si>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</si>
  <si>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</si>
  <si>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</si>
  <si>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</si>
  <si>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</si>
  <si>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</si>
  <si>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</si>
  <si>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</si>
  <si>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</si>
  <si>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</si>
  <si>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</si>
  <si>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</si>
  <si>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</si>
  <si>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</si>
  <si>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</si>
  <si>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</si>
  <si>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</si>
  <si>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</si>
  <si>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</si>
  <si>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</si>
  <si>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</si>
  <si>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</si>
  <si>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</si>
  <si>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</si>
  <si>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</si>
  <si>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</si>
  <si>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</si>
  <si>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</si>
  <si>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</si>
  <si>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</si>
  <si>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</si>
  <si>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</si>
  <si>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</si>
  <si>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</si>
  <si>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</si>
  <si>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</si>
  <si>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</si>
  <si>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</si>
  <si>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</si>
  <si>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</si>
  <si>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</si>
  <si>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</si>
  <si>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</si>
  <si>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</si>
  <si>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</si>
  <si>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</si>
  <si>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</si>
  <si>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</si>
  <si>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</si>
  <si>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</si>
  <si>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</si>
  <si>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</si>
  <si>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</si>
  <si>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</si>
  <si>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</si>
  <si>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</si>
  <si>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</si>
  <si>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</si>
  <si>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</si>
  <si>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</si>
  <si>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</si>
  <si>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</si>
  <si>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</si>
  <si>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</si>
  <si>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</si>
  <si>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</si>
  <si>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</si>
  <si>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</si>
  <si>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</si>
  <si>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</si>
  <si>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</si>
  <si>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</si>
  <si>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</si>
  <si>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</si>
  <si>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</si>
  <si>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</si>
  <si>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</si>
  <si>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</si>
  <si>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</si>
  <si>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</si>
  <si>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</si>
  <si>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</si>
  <si>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</si>
  <si>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</si>
  <si>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</si>
  <si>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</si>
  <si>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</si>
  <si>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</si>
  <si>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</si>
  <si>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</si>
  <si>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</si>
  <si>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</si>
  <si>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</si>
  <si>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</si>
  <si>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</si>
  <si>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</si>
  <si>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</si>
  <si>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</si>
  <si>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</si>
  <si>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</si>
  <si>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</si>
  <si>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</si>
  <si>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</si>
  <si>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</si>
  <si>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</si>
  <si>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</si>
  <si>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</si>
  <si>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</si>
  <si>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</si>
  <si>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</si>
  <si>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</si>
  <si>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</si>
  <si>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</si>
  <si>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</si>
  <si>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</si>
  <si>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</si>
  <si>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</si>
  <si>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</si>
  <si>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</si>
  <si>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</si>
  <si>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</si>
  <si>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</si>
  <si>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</si>
  <si>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</si>
  <si>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</si>
  <si>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</si>
  <si>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</si>
  <si>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</si>
  <si>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</si>
  <si>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</si>
  <si>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</si>
  <si>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</si>
  <si>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</si>
  <si>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</si>
  <si>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</si>
  <si>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</si>
  <si>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</si>
  <si>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</si>
  <si>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</si>
  <si>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</si>
  <si>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</si>
  <si>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</si>
  <si>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</si>
  <si>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</si>
  <si>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</si>
  <si>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</si>
  <si>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</si>
  <si>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</si>
  <si>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</si>
  <si>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</si>
  <si>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</si>
  <si>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</si>
  <si>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</si>
  <si>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</si>
  <si>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</si>
  <si>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</si>
  <si>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</si>
  <si>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</si>
  <si>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</si>
  <si>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</si>
  <si>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</si>
  <si>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</si>
  <si>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</si>
  <si>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</si>
  <si>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</si>
  <si>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</si>
  <si>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</si>
  <si>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</si>
  <si>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</si>
  <si>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</si>
  <si>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</si>
  <si>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</si>
  <si>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</si>
  <si>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</si>
  <si>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</si>
  <si>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</si>
  <si>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</si>
  <si>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</si>
  <si>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</si>
  <si>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</si>
  <si>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</si>
  <si>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</si>
  <si>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</si>
  <si>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</si>
  <si>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</si>
  <si>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</si>
  <si>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</si>
  <si>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</si>
  <si>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</si>
  <si>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</si>
  <si>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</si>
  <si>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</si>
  <si>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</si>
  <si>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</si>
  <si>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</si>
  <si>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</si>
  <si>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</si>
  <si>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</si>
  <si>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</si>
  <si>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</si>
  <si>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</si>
  <si>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</si>
  <si>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</si>
  <si>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</si>
  <si>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</si>
  <si>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</si>
  <si>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</si>
  <si>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</si>
  <si>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</si>
  <si>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</si>
  <si>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</si>
  <si>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</si>
  <si>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</si>
  <si>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</si>
  <si>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</si>
  <si>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</si>
  <si>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</si>
  <si>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</si>
  <si>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</si>
  <si>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</si>
  <si>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</si>
  <si>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</si>
  <si>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</si>
  <si>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</si>
  <si>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</si>
  <si>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</si>
  <si>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</si>
  <si>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</si>
  <si>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</si>
  <si>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</si>
  <si>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</si>
  <si>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</si>
  <si>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</si>
  <si>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</si>
  <si>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</si>
  <si>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</si>
  <si>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</si>
  <si>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</si>
  <si>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</si>
  <si>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</si>
  <si>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</si>
  <si>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</si>
  <si>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</si>
  <si>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</si>
  <si>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</si>
  <si>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</si>
  <si>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</si>
  <si>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</si>
  <si>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</si>
  <si>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</si>
  <si>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</si>
  <si>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</si>
  <si>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</si>
  <si>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</si>
  <si>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</si>
  <si>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</si>
  <si>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</si>
  <si>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</si>
  <si>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</si>
  <si>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</si>
  <si>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</si>
  <si>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</si>
  <si>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</si>
  <si>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</si>
  <si>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</si>
  <si>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</si>
  <si>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</si>
  <si>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</si>
  <si>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</si>
  <si>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</si>
  <si>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</si>
  <si>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</si>
  <si>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</si>
  <si>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</si>
  <si>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</si>
  <si>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</si>
  <si>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</si>
  <si>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</si>
  <si>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</si>
  <si>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</si>
  <si>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</si>
  <si>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</si>
  <si>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</si>
  <si>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</si>
  <si>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</si>
  <si>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</si>
  <si>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</si>
  <si>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</si>
  <si>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</si>
  <si>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</si>
  <si>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</si>
  <si>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</si>
  <si>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</si>
  <si>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</si>
  <si>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</si>
  <si>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</si>
  <si>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</si>
  <si>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</si>
  <si>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</si>
  <si>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</si>
  <si>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</si>
  <si>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</si>
  <si>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</si>
  <si>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</si>
  <si>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</si>
  <si>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</si>
  <si>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</si>
  <si>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</si>
  <si>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</si>
  <si>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</si>
  <si>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</si>
  <si>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</si>
  <si>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</si>
  <si>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</si>
  <si>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</si>
  <si>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</si>
  <si>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</si>
  <si>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</si>
  <si>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</si>
  <si>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</si>
  <si>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</si>
  <si>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</si>
  <si>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</si>
  <si>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</si>
  <si>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</si>
  <si>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</si>
  <si>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</si>
  <si>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</si>
  <si>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</si>
  <si>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</si>
  <si>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</si>
  <si>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</si>
  <si>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</si>
  <si>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</si>
  <si>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</si>
  <si>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</si>
  <si>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</si>
  <si>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</si>
  <si>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</si>
  <si>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</si>
  <si>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</si>
  <si>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</si>
  <si>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</si>
  <si>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</si>
  <si>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</si>
  <si>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</si>
  <si>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</si>
  <si>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</si>
  <si>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</si>
  <si>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</si>
  <si>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</si>
  <si>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</si>
  <si>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</si>
  <si>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</si>
  <si>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</si>
  <si>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</si>
  <si>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</si>
  <si>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</si>
  <si>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</si>
  <si>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</si>
  <si>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</si>
  <si>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</si>
  <si>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</si>
  <si>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</si>
  <si>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</si>
  <si>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</si>
  <si>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</si>
  <si>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</si>
  <si>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</si>
  <si>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</si>
  <si>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</si>
  <si>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</si>
  <si>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</si>
  <si>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</si>
  <si>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</si>
  <si>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</si>
  <si>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</si>
  <si>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</si>
  <si>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</si>
  <si>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</si>
  <si>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</si>
  <si>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</si>
  <si>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</si>
  <si>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</si>
  <si>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</si>
  <si>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</si>
  <si>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</si>
  <si>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</si>
  <si>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</si>
  <si>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</si>
  <si>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</si>
  <si>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</si>
  <si>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</si>
  <si>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</si>
  <si>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</si>
  <si>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</si>
  <si>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</si>
  <si>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</si>
  <si>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</si>
  <si>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</si>
  <si>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</si>
  <si>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</si>
  <si>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</si>
  <si>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</si>
  <si>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</si>
  <si>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</si>
  <si>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</si>
  <si>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</si>
  <si>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</si>
  <si>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</si>
  <si>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</si>
  <si>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</si>
  <si>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</si>
  <si>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</si>
  <si>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</si>
  <si>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</si>
  <si>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</si>
  <si>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</si>
  <si>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</si>
  <si>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</si>
  <si>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</si>
  <si>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</si>
  <si>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</si>
  <si>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</si>
  <si>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</si>
  <si>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</si>
  <si>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</si>
  <si>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</si>
  <si>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</si>
  <si>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</si>
  <si>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</si>
  <si>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</si>
  <si>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</si>
  <si>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</si>
  <si>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</si>
  <si>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</si>
  <si>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</si>
  <si>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</si>
  <si>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</si>
  <si>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</si>
  <si>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</si>
  <si>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</si>
  <si>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</si>
  <si>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</si>
  <si>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</si>
  <si>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</si>
  <si>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</si>
  <si>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</si>
  <si>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</si>
  <si>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</si>
  <si>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</si>
  <si>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</si>
  <si>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</si>
  <si>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</si>
  <si>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</si>
  <si>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</si>
  <si>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</si>
  <si>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</si>
  <si>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</si>
  <si>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</si>
  <si>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</si>
  <si>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</si>
  <si>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</si>
  <si>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</si>
  <si>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</si>
  <si>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</si>
  <si>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</si>
  <si>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</si>
  <si>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</si>
  <si>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</si>
  <si>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</si>
  <si>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</si>
  <si>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</si>
  <si>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</si>
  <si>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</si>
  <si>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</si>
  <si>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</si>
  <si>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</si>
  <si>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</si>
  <si>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</si>
  <si>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</si>
  <si>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</si>
  <si>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</si>
  <si>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</si>
  <si>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</si>
  <si>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</si>
  <si>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</si>
  <si>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</si>
  <si>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</si>
  <si>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</si>
  <si>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</si>
  <si>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</si>
  <si>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</si>
  <si>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</si>
  <si>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</si>
  <si>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</si>
  <si>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</si>
  <si>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</si>
  <si>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</si>
  <si>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</si>
  <si>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</si>
  <si>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</si>
  <si>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</si>
  <si>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</si>
  <si>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</si>
  <si>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</si>
  <si>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</si>
  <si>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</si>
  <si>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</si>
  <si>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</si>
  <si>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</si>
  <si>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</si>
  <si>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</si>
  <si>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</si>
  <si>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</si>
  <si>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</si>
  <si>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</si>
  <si>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</si>
  <si>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</si>
  <si>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</si>
  <si>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</si>
  <si>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</si>
  <si>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</si>
  <si>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</si>
  <si>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</si>
  <si>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</si>
  <si>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</si>
  <si>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</si>
  <si>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</si>
  <si>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</si>
  <si>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</si>
  <si>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</si>
  <si>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</si>
  <si>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</si>
  <si>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</si>
  <si>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</si>
  <si>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</si>
  <si>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</si>
  <si>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</si>
  <si>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</si>
  <si>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</si>
  <si>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</si>
  <si>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</si>
  <si>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</si>
  <si>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</si>
  <si>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</si>
  <si>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</si>
  <si>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</si>
  <si>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</si>
  <si>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</si>
  <si>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</si>
  <si>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</si>
  <si>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</si>
  <si>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</si>
  <si>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</si>
  <si>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</si>
  <si>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</si>
  <si>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</si>
  <si>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</si>
  <si>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</si>
  <si>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</si>
  <si>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</si>
  <si>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</si>
  <si>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</si>
  <si>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</si>
  <si>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</si>
  <si>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</si>
  <si>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</si>
  <si>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</si>
  <si>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</si>
  <si>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</si>
  <si>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</si>
  <si>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</si>
  <si>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</si>
  <si>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</si>
  <si>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</si>
  <si>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</si>
  <si>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</si>
  <si>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</si>
  <si>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</si>
  <si>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</si>
  <si>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</si>
  <si>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</si>
  <si>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</si>
  <si>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</si>
  <si>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</si>
  <si>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</si>
  <si>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</si>
  <si>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</si>
  <si>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</si>
  <si>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</si>
  <si>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</si>
  <si>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</si>
  <si>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</si>
  <si>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</si>
  <si>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</si>
  <si>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</si>
  <si>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</si>
  <si>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</si>
  <si>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</si>
  <si>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</si>
  <si>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</si>
  <si>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</si>
  <si>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</si>
  <si>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</si>
  <si>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</si>
  <si>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</si>
  <si>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</si>
  <si>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</si>
  <si>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</si>
  <si>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</si>
  <si>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</si>
  <si>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</si>
  <si>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</si>
  <si>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</si>
  <si>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</si>
  <si>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</si>
  <si>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</si>
  <si>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</si>
  <si>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</si>
  <si>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</si>
  <si>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</si>
  <si>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</si>
  <si>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</si>
  <si>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</si>
  <si>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</si>
  <si>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</si>
  <si>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</si>
  <si>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</si>
  <si>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</si>
  <si>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</si>
  <si>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</si>
  <si>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</si>
  <si>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</si>
  <si>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</si>
  <si>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</si>
  <si>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</si>
  <si>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</si>
  <si>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</si>
  <si>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</si>
  <si>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</si>
  <si>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</si>
  <si>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</si>
  <si>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</si>
  <si>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</si>
  <si>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</si>
  <si>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</si>
  <si>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</si>
  <si>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</si>
  <si>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</si>
  <si>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</si>
  <si>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</si>
  <si>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</si>
  <si>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</si>
  <si>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</si>
  <si>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</si>
  <si>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</si>
  <si>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</si>
  <si>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</si>
  <si>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</si>
  <si>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</si>
  <si>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</si>
  <si>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</si>
  <si>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</si>
  <si>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</si>
  <si>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</si>
  <si>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</si>
  <si>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</si>
  <si>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</si>
  <si>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</si>
  <si>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</si>
  <si>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</si>
  <si>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</si>
  <si>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</si>
  <si>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</si>
  <si>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</si>
  <si>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</si>
  <si>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</si>
  <si>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</si>
  <si>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</si>
  <si>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</si>
  <si>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</si>
  <si>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</si>
  <si>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</si>
  <si>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</si>
  <si>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</si>
  <si>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</si>
  <si>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</si>
  <si>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</si>
  <si>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</si>
  <si>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</si>
  <si>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</si>
  <si>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</si>
  <si>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</si>
  <si>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</si>
  <si>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</si>
  <si>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</si>
  <si>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</si>
  <si>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</si>
  <si>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</si>
  <si>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</si>
  <si>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</si>
  <si>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</si>
  <si>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</si>
  <si>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</si>
  <si>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</si>
  <si>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</si>
  <si>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</si>
  <si>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</si>
  <si>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</si>
  <si>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</si>
  <si>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</si>
  <si>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</si>
  <si>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</si>
  <si>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</si>
  <si>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</si>
  <si>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</si>
  <si>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</si>
  <si>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</si>
  <si>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</si>
  <si>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</si>
  <si>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</si>
  <si>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</si>
  <si>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</si>
  <si>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</si>
  <si>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</si>
  <si>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</si>
  <si>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</si>
  <si>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</si>
  <si>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</si>
  <si>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</si>
  <si>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</si>
  <si>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</si>
  <si>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</si>
  <si>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</si>
  <si>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</si>
  <si>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</si>
  <si>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</si>
  <si>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</si>
  <si>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</si>
  <si>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</si>
  <si>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</si>
  <si>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</si>
  <si>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</si>
  <si>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</si>
  <si>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</si>
  <si>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</si>
  <si>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</si>
  <si>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</si>
  <si>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</si>
  <si>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</si>
  <si>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</si>
  <si>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</si>
  <si>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</si>
  <si>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</si>
  <si>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</si>
  <si>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</si>
  <si>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</si>
  <si>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</si>
  <si>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</si>
  <si>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</si>
  <si>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</si>
  <si>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</si>
  <si>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</si>
  <si>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</si>
  <si>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</si>
  <si>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</si>
  <si>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</si>
  <si>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</si>
  <si>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</si>
  <si>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</si>
  <si>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</si>
  <si>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</si>
  <si>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</si>
  <si>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</si>
  <si>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</si>
  <si>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</si>
  <si>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</si>
  <si>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</si>
  <si>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</si>
  <si>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</si>
  <si>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</si>
  <si>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</si>
  <si>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</si>
  <si>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</si>
  <si>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</si>
  <si>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</si>
  <si>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</si>
  <si>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</si>
  <si>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</si>
  <si>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</si>
  <si>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</si>
  <si>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</si>
  <si>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</si>
  <si>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</si>
  <si>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</si>
  <si>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</si>
  <si>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</si>
  <si>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</si>
  <si>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</si>
  <si>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</si>
  <si>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</si>
  <si>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</si>
  <si>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</si>
  <si>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</si>
  <si>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</si>
  <si>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</si>
  <si>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</si>
  <si>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</si>
  <si>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</si>
  <si>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</si>
  <si>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</si>
  <si>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</si>
  <si>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</si>
  <si>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</si>
  <si>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</si>
  <si>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</si>
  <si>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</si>
  <si>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</si>
  <si>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</si>
  <si>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</si>
  <si>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</si>
  <si>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</si>
  <si>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</si>
  <si>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</si>
  <si>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</si>
  <si>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</si>
  <si>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</si>
  <si>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</si>
  <si>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</si>
  <si>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</si>
  <si>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</si>
  <si>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</si>
  <si>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</si>
  <si>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</si>
  <si>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</si>
  <si>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</si>
  <si>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</si>
  <si>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</si>
  <si>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</si>
  <si>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</si>
  <si>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</si>
  <si>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</si>
  <si>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</si>
  <si>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</si>
  <si>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</si>
  <si>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</si>
  <si>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</si>
  <si>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</si>
  <si>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</si>
  <si>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</si>
  <si>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</si>
  <si>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</si>
  <si>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</si>
  <si>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</si>
  <si>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</si>
  <si>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</si>
  <si>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</si>
  <si>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</si>
  <si>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</si>
  <si>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</si>
  <si>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</si>
  <si>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</si>
  <si>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</si>
  <si>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</si>
  <si>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</si>
  <si>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</si>
  <si>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</si>
  <si>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</si>
  <si>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</si>
  <si>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</si>
  <si>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</si>
  <si>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</si>
  <si>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</si>
  <si>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</si>
  <si>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</si>
  <si>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</si>
  <si>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</si>
  <si>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</si>
  <si>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</si>
  <si>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</si>
  <si>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</si>
  <si>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</si>
  <si>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</si>
  <si>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</si>
  <si>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</si>
  <si>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</si>
  <si>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</si>
  <si>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MiniRF, Inc.</t>
  </si>
  <si>
    <t>Hedy Housholder</t>
  </si>
  <si>
    <t>Hedy.housholder@minirf.com</t>
  </si>
  <si>
    <t>408-228-3533</t>
  </si>
  <si>
    <t>Aida Krajisnik</t>
  </si>
  <si>
    <t>Director of Quality</t>
  </si>
  <si>
    <t>aida@minirf.com</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</si>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</sst>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Hedy.housholder@minirf.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aida@minirf.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4.5">
      <c r="A13" s="373"/>
      <c r="B13" s="275">
        <v>1</v>
      </c>
      <c r="C13" s="276" t="s">
        <v>1046</v>
      </c>
      <c r="D13" s="277" t="s">
        <v>836</v>
      </c>
      <c r="E13" s="278" t="s">
        <v>813</v>
      </c>
      <c r="F13" s="278"/>
      <c r="G13" s="24"/>
    </row>
    <row r="14" spans="1:7" ht="46">
      <c r="A14" s="373"/>
      <c r="B14" s="275">
        <v>2</v>
      </c>
      <c r="C14" s="276" t="s">
        <v>1046</v>
      </c>
      <c r="D14" s="277" t="s">
        <v>983</v>
      </c>
      <c r="E14" s="278" t="s">
        <v>513</v>
      </c>
      <c r="F14" s="278" t="s">
        <v>514</v>
      </c>
      <c r="G14" s="24"/>
    </row>
    <row r="15" spans="1:7" ht="89.15"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150000000000006"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5"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99999999999999" customHeight="1">
      <c r="A28" s="373"/>
      <c r="B28" s="362"/>
      <c r="C28" s="359"/>
      <c r="D28" s="380"/>
      <c r="E28" s="371"/>
      <c r="F28" s="280" t="s">
        <v>56</v>
      </c>
      <c r="G28" s="24"/>
    </row>
    <row r="29" spans="1:7" ht="74.5" customHeight="1">
      <c r="A29" s="373"/>
      <c r="B29" s="362"/>
      <c r="C29" s="359"/>
      <c r="D29" s="380"/>
      <c r="E29" s="371"/>
      <c r="F29" s="280" t="s">
        <v>57</v>
      </c>
      <c r="G29" s="24"/>
    </row>
    <row r="30" spans="1:7" ht="62.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5" customHeight="1">
      <c r="A33" s="373"/>
      <c r="B33" s="362"/>
      <c r="C33" s="359"/>
      <c r="D33" s="380"/>
      <c r="E33" s="371"/>
      <c r="F33" s="280" t="s">
        <v>61</v>
      </c>
      <c r="G33" s="24"/>
    </row>
    <row r="34" spans="1:7" ht="89.15" customHeight="1">
      <c r="A34" s="373"/>
      <c r="B34" s="362"/>
      <c r="C34" s="359"/>
      <c r="D34" s="380"/>
      <c r="E34" s="371"/>
      <c r="F34" s="280" t="s">
        <v>63</v>
      </c>
      <c r="G34" s="24"/>
    </row>
    <row r="35" spans="1:7" ht="29.15" customHeight="1">
      <c r="A35" s="373"/>
      <c r="B35" s="362"/>
      <c r="C35" s="359"/>
      <c r="D35" s="380"/>
      <c r="E35" s="371"/>
      <c r="F35" s="280" t="s">
        <v>64</v>
      </c>
      <c r="G35" s="24"/>
    </row>
    <row r="36" spans="1:7" ht="138.5">
      <c r="A36" s="373"/>
      <c r="B36" s="363"/>
      <c r="C36" s="360"/>
      <c r="D36" s="381"/>
      <c r="E36" s="372"/>
      <c r="F36" s="282" t="s">
        <v>65</v>
      </c>
      <c r="G36" s="24"/>
    </row>
    <row r="37" spans="1:7" ht="138">
      <c r="A37" s="373"/>
      <c r="B37" s="281">
        <v>3.01</v>
      </c>
      <c r="C37" s="283" t="s">
        <v>66</v>
      </c>
      <c r="D37" s="277" t="s">
        <v>2155</v>
      </c>
      <c r="E37" s="284" t="s">
        <v>1282</v>
      </c>
      <c r="F37" s="285" t="s">
        <v>1384</v>
      </c>
      <c r="G37" s="24"/>
    </row>
    <row r="38" spans="1:7" ht="126.5">
      <c r="A38" s="373"/>
      <c r="B38" s="281">
        <v>3.02</v>
      </c>
      <c r="C38" s="283" t="s">
        <v>1314</v>
      </c>
      <c r="D38" s="277" t="s">
        <v>2156</v>
      </c>
      <c r="E38" s="284" t="s">
        <v>1329</v>
      </c>
      <c r="F38" s="285" t="s">
        <v>1385</v>
      </c>
      <c r="G38" s="24"/>
    </row>
    <row r="39" spans="1:7" ht="103.5">
      <c r="A39" s="373"/>
      <c r="B39" s="286">
        <v>4</v>
      </c>
      <c r="C39" s="287" t="s">
        <v>1480</v>
      </c>
      <c r="D39" s="277" t="s">
        <v>2157</v>
      </c>
      <c r="E39" s="276" t="s">
        <v>2104</v>
      </c>
      <c r="F39" s="276" t="s">
        <v>1481</v>
      </c>
      <c r="G39" s="24"/>
    </row>
    <row r="40" spans="1:7" ht="57.5">
      <c r="A40" s="373"/>
      <c r="B40" s="281">
        <v>4.01</v>
      </c>
      <c r="C40" s="287" t="s">
        <v>1480</v>
      </c>
      <c r="D40" s="277" t="s">
        <v>2159</v>
      </c>
      <c r="E40" s="276" t="s">
        <v>2116</v>
      </c>
      <c r="F40" s="276" t="s">
        <v>2120</v>
      </c>
      <c r="G40" s="24"/>
    </row>
    <row r="41" spans="1:7" ht="57.5">
      <c r="A41" s="373"/>
      <c r="B41" s="281" t="s">
        <v>2146</v>
      </c>
      <c r="C41" s="287" t="s">
        <v>1480</v>
      </c>
      <c r="D41" s="277" t="s">
        <v>2158</v>
      </c>
      <c r="E41" s="276" t="s">
        <v>2149</v>
      </c>
      <c r="F41" s="276" t="s">
        <v>2147</v>
      </c>
      <c r="G41" s="24"/>
    </row>
    <row r="42" spans="1:7" ht="57.5">
      <c r="A42" s="373"/>
      <c r="B42" s="281" t="s">
        <v>2173</v>
      </c>
      <c r="C42" s="287" t="s">
        <v>1480</v>
      </c>
      <c r="D42" s="277" t="s">
        <v>2178</v>
      </c>
      <c r="E42" s="276" t="s">
        <v>2148</v>
      </c>
      <c r="F42" s="276" t="s">
        <v>2174</v>
      </c>
      <c r="G42" s="24"/>
    </row>
    <row r="43" spans="1:7" ht="172.5">
      <c r="A43" s="373"/>
      <c r="B43" s="288">
        <v>4.0999999999999996</v>
      </c>
      <c r="C43" s="287" t="s">
        <v>2177</v>
      </c>
      <c r="D43" s="289">
        <v>42867</v>
      </c>
      <c r="E43" s="290" t="s">
        <v>2180</v>
      </c>
      <c r="F43" s="276" t="s">
        <v>2179</v>
      </c>
      <c r="G43" s="24"/>
    </row>
    <row r="44" spans="1:7" ht="103.5">
      <c r="A44" s="373"/>
      <c r="B44" s="288">
        <v>4.2</v>
      </c>
      <c r="C44" s="287" t="s">
        <v>2177</v>
      </c>
      <c r="D44" s="289">
        <v>42704</v>
      </c>
      <c r="E44" s="290" t="s">
        <v>2369</v>
      </c>
      <c r="F44" s="276" t="s">
        <v>2344</v>
      </c>
      <c r="G44" s="24"/>
    </row>
    <row r="45" spans="1:7" ht="207">
      <c r="A45" s="373"/>
      <c r="B45" s="291">
        <v>5</v>
      </c>
      <c r="C45" s="287" t="s">
        <v>2177</v>
      </c>
      <c r="D45" s="289">
        <v>42867</v>
      </c>
      <c r="E45" s="290" t="s">
        <v>12256</v>
      </c>
      <c r="F45" s="276" t="s">
        <v>11978</v>
      </c>
      <c r="G45" s="24"/>
    </row>
    <row r="46" spans="1:7" ht="57.5">
      <c r="A46" s="373"/>
      <c r="B46" s="288">
        <v>5.01</v>
      </c>
      <c r="C46" s="287" t="s">
        <v>2177</v>
      </c>
      <c r="D46" s="289">
        <v>42907</v>
      </c>
      <c r="E46" s="290" t="s">
        <v>14886</v>
      </c>
      <c r="F46" s="276" t="s">
        <v>11978</v>
      </c>
      <c r="G46" s="24"/>
    </row>
    <row r="47" spans="1:7" ht="92">
      <c r="A47" s="373"/>
      <c r="B47" s="288">
        <v>5.0999999999999996</v>
      </c>
      <c r="C47" s="287" t="s">
        <v>2177</v>
      </c>
      <c r="D47" s="289">
        <v>43070</v>
      </c>
      <c r="E47" s="290" t="s">
        <v>12456</v>
      </c>
      <c r="F47" s="276" t="s">
        <v>12457</v>
      </c>
      <c r="G47" s="24"/>
    </row>
    <row r="48" spans="1:7" ht="80.5">
      <c r="A48" s="373"/>
      <c r="B48" s="288">
        <v>5.1100000000000003</v>
      </c>
      <c r="C48" s="287" t="s">
        <v>12684</v>
      </c>
      <c r="D48" s="289">
        <v>43217</v>
      </c>
      <c r="E48" s="290" t="s">
        <v>12786</v>
      </c>
      <c r="F48" s="276" t="s">
        <v>12711</v>
      </c>
      <c r="G48" s="24"/>
    </row>
    <row r="49" spans="1:7" ht="80.5">
      <c r="A49" s="373"/>
      <c r="B49" s="288">
        <v>5.12</v>
      </c>
      <c r="C49" s="287" t="s">
        <v>12684</v>
      </c>
      <c r="D49" s="289">
        <v>43581</v>
      </c>
      <c r="E49" s="290" t="s">
        <v>12786</v>
      </c>
      <c r="F49" s="276" t="s">
        <v>13315</v>
      </c>
      <c r="G49" s="24"/>
    </row>
    <row r="50" spans="1:7" ht="115">
      <c r="A50" s="373"/>
      <c r="B50" s="291">
        <v>6</v>
      </c>
      <c r="C50" s="287" t="s">
        <v>12684</v>
      </c>
      <c r="D50" s="289">
        <v>43964</v>
      </c>
      <c r="E50" s="290" t="s">
        <v>13527</v>
      </c>
      <c r="F50" s="276" t="s">
        <v>13318</v>
      </c>
      <c r="G50" s="24"/>
    </row>
    <row r="51" spans="1:7" ht="57.5">
      <c r="A51" s="373"/>
      <c r="B51" s="288">
        <v>6.01</v>
      </c>
      <c r="C51" s="287" t="s">
        <v>12684</v>
      </c>
      <c r="D51" s="289">
        <v>43970</v>
      </c>
      <c r="E51" s="290" t="s">
        <v>14887</v>
      </c>
      <c r="F51" s="290" t="s">
        <v>13318</v>
      </c>
      <c r="G51" s="24"/>
    </row>
    <row r="52" spans="1:7" ht="57.5">
      <c r="A52" s="373"/>
      <c r="B52" s="288">
        <v>6.1</v>
      </c>
      <c r="C52" s="287" t="s">
        <v>12684</v>
      </c>
      <c r="D52" s="289">
        <v>44314</v>
      </c>
      <c r="E52" s="290" t="s">
        <v>14880</v>
      </c>
      <c r="F52" s="290" t="s">
        <v>14487</v>
      </c>
      <c r="G52" s="24"/>
    </row>
    <row r="53" spans="1:7" ht="57.5">
      <c r="A53" s="373"/>
      <c r="B53" s="288">
        <v>6.2</v>
      </c>
      <c r="C53" s="287" t="s">
        <v>12684</v>
      </c>
      <c r="D53" s="289">
        <v>44678</v>
      </c>
      <c r="E53" s="290" t="s">
        <v>14880</v>
      </c>
      <c r="F53" s="290" t="s">
        <v>14879</v>
      </c>
      <c r="G53" s="24"/>
    </row>
    <row r="54" spans="1:7" ht="57.5">
      <c r="A54" s="373"/>
      <c r="B54" s="288">
        <v>6.21</v>
      </c>
      <c r="C54" s="287" t="s">
        <v>12684</v>
      </c>
      <c r="D54" s="289">
        <v>44687</v>
      </c>
      <c r="E54" s="290" t="s">
        <v>14888</v>
      </c>
      <c r="F54" s="290" t="s">
        <v>14879</v>
      </c>
      <c r="G54" s="24"/>
    </row>
    <row r="55" spans="1:7" ht="57.5">
      <c r="A55" s="373"/>
      <c r="B55" s="288">
        <v>6.22</v>
      </c>
      <c r="C55" s="287" t="s">
        <v>12684</v>
      </c>
      <c r="D55" s="292">
        <v>44692</v>
      </c>
      <c r="E55" s="290" t="s">
        <v>14887</v>
      </c>
      <c r="F55" s="290" t="s">
        <v>14879</v>
      </c>
      <c r="G55" s="24"/>
    </row>
    <row r="56" spans="1:7" ht="80.5">
      <c r="A56" s="373"/>
      <c r="B56" s="291">
        <v>6.3</v>
      </c>
      <c r="C56" s="287" t="s">
        <v>12684</v>
      </c>
      <c r="D56" s="292">
        <v>45051</v>
      </c>
      <c r="E56" s="290" t="s">
        <v>15144</v>
      </c>
      <c r="F56" s="290" t="s">
        <v>14925</v>
      </c>
      <c r="G56" s="24"/>
    </row>
    <row r="57" spans="1:7" ht="57.5">
      <c r="A57" s="373"/>
      <c r="B57" s="288">
        <v>6.31</v>
      </c>
      <c r="C57" s="287" t="s">
        <v>12684</v>
      </c>
      <c r="D57" s="292">
        <v>45072</v>
      </c>
      <c r="E57" s="290" t="s">
        <v>15146</v>
      </c>
      <c r="F57" s="290" t="s">
        <v>14925</v>
      </c>
      <c r="G57" s="24"/>
    </row>
    <row r="58" spans="1:7" ht="57.5">
      <c r="A58" s="373"/>
      <c r="B58" s="291">
        <v>6.4</v>
      </c>
      <c r="C58" s="287" t="s">
        <v>12684</v>
      </c>
      <c r="D58" s="292">
        <v>45408</v>
      </c>
      <c r="E58" s="290" t="s">
        <v>15148</v>
      </c>
      <c r="F58" s="290" t="s">
        <v>15147</v>
      </c>
      <c r="G58" s="24"/>
    </row>
    <row r="59" spans="1:7" ht="57.5">
      <c r="A59" s="373"/>
      <c r="B59" s="291">
        <v>6.5</v>
      </c>
      <c r="C59" s="287" t="s">
        <v>12684</v>
      </c>
      <c r="D59" s="292">
        <v>45772</v>
      </c>
      <c r="E59" s="290" t="s">
        <v>15217</v>
      </c>
      <c r="F59" s="290" t="s">
        <v>15259</v>
      </c>
      <c r="G59" s="24"/>
    </row>
    <row r="60" spans="1:7" ht="80.5">
      <c r="A60" s="373"/>
      <c r="B60" s="291">
        <v>6.6</v>
      </c>
      <c r="C60" s="287" t="s">
        <v>12684</v>
      </c>
      <c r="D60" s="292">
        <v>46129</v>
      </c>
      <c r="E60" s="290" t="s">
        <v>15870</v>
      </c>
      <c r="F60" s="293" t="s">
        <v>15352</v>
      </c>
      <c r="G60" s="24"/>
    </row>
    <row r="61" spans="1:7" ht="14" thickBot="1">
      <c r="A61" s="374"/>
      <c r="B61" s="375" t="str">
        <f ca="1">OFFSET(L!$C$1,MATCH("General"&amp;"Cpy",L!$A:$A,0)-1,SL,,)</f>
        <v>© 2026 Responsible Minerals Initiative. All rights reserved.</v>
      </c>
      <c r="C61" s="375"/>
      <c r="D61" s="375"/>
      <c r="E61" s="375"/>
      <c r="F61" s="37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2B6B672-6BCB-4F75-81AE-F86F61A9643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1808373-2821-43FF-9A6B-A11CAD733F3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4" thickBot="1">
      <c r="A33" s="72"/>
      <c r="B33" s="146"/>
      <c r="C33" s="146"/>
      <c r="D33" s="387"/>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19" sqref="B1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4"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15880</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49" t="s">
        <v>15881</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15882</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294" t="s">
        <v>15883</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1" t="s">
        <v>15884</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49" t="s">
        <v>15885</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52" t="s">
        <v>15882</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55">
        <v>46144</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18" t="s">
        <v>15886</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18" t="s">
        <v>15886</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7" t="s">
        <v>473</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
      </c>
    </row>
    <row r="103" spans="2:7" ht="15" hidden="1">
      <c r="B103" s="219" t="s">
        <v>2373</v>
      </c>
      <c r="D103" s="264" t="str">
        <f>IF(AND(OR($D$28="Yes",$D$28=""),OR($D$34="Yes",$D$34="")),"No","")</f>
        <v>No</v>
      </c>
      <c r="E103" s="264" t="str">
        <f>IF(AND(OR($D$27="Yes",$D$27=""),OR($D$33="Yes",$D$33="")),"Greater than 90%","")</f>
        <v>Greater than 90%</v>
      </c>
      <c r="G103" s="264" t="str">
        <f>IF(OR($D$29="Yes",$D$29=""),"No","")</f>
        <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D87CD6D-30D3-4060-B1F9-5093B90E6B21}"/>
    <hyperlink ref="D20" r:id="rId4" xr:uid="{2C55CDA6-2DB3-4FD7-806F-94075ECD8562}"/>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21" zoomScaleNormal="100" zoomScalePageLayoutView="55" workbookViewId="0">
      <selection activeCell="C6" sqref="C6"/>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c r="B5" s="166" t="s">
        <v>1087</v>
      </c>
      <c r="C5" s="170" t="s">
        <v>2067</v>
      </c>
      <c r="D5" s="213"/>
      <c r="E5" s="166" t="str">
        <f ca="1">IF(ISERROR($V5),"",OFFSET('Smelter Look-up'!$D$4,$V5-4,0)&amp;"")</f>
        <v>CHINA</v>
      </c>
      <c r="F5" s="166" t="str">
        <f ca="1">IF(ISERROR($V5),"",OFFSET('Smelter Look-up'!$E$4,$V5-4,0))</f>
        <v>CID001622</v>
      </c>
      <c r="G5" s="166" t="str">
        <f ca="1">IF(C5=$X$4,IF(ISERROR($V5),"Enter smelter details","RMI"),IF(ISERROR($V5),"",OFFSET('Smelter Look-up'!$F$4,$V5-4,0)))</f>
        <v>RMI</v>
      </c>
      <c r="H5" s="167">
        <f ca="1">IF(ISERROR($V5),"",OFFSET('Smelter Look-up'!$G$4,$V5-4,0))</f>
        <v>0</v>
      </c>
      <c r="I5" s="168" t="str">
        <f ca="1">IF(ISERROR($V5),"",OFFSET('Smelter Look-up'!$H$4,$V5-4,0))</f>
        <v>Zhaoyuan</v>
      </c>
      <c r="J5" s="168" t="str">
        <f ca="1">IF(ISERROR($V5),"",OFFSET('Smelter Look-up'!$I$4,$V5-4,0))</f>
        <v>Shandong Sheng</v>
      </c>
      <c r="K5" s="207"/>
      <c r="L5" s="207"/>
      <c r="M5" s="207"/>
      <c r="N5" s="207"/>
      <c r="O5" s="207"/>
      <c r="P5" s="169"/>
      <c r="Q5" s="208"/>
      <c r="R5" s="166" t="str">
        <f ca="1">IF(ISERROR($V5),"",OFFSET('Smelter Look-up'!$C$4,$V5-4,0)&amp;"")</f>
        <v>Shandong Zhaojin Gold &amp; Silver Refinery Co., Ltd.</v>
      </c>
      <c r="S5" s="165" t="str">
        <f ca="1">IF(B5="","",IF(ISERROR(MATCH($E5,CL,0)),"Unknown",INDIRECT("'C'!$A$"&amp;MATCH($E5,CL,0)+1)))</f>
        <v>CN</v>
      </c>
      <c r="T5" s="165" t="str">
        <f ca="1">IF(B5="","",IF(ISERROR(MATCH($J5,SorP!$B$1:$B$6261,0)),"",INDIRECT("'SorP'!$A$"&amp;MATCH($S5&amp;$J5,SorP!C:C,0))))</f>
        <v>CN-SD</v>
      </c>
      <c r="U5" s="185"/>
      <c r="V5" s="209">
        <f>IF(C5="",NA(),IF(OR(C5="Smelter not listed",C5="Smelter not yet identified"),MATCH($B5&amp;$D5,'Smelter Look-up'!$J:$J,0),MATCH($B5&amp;$C5,'Smelter Look-up'!$J:$J,0)))</f>
        <v>269</v>
      </c>
      <c r="X5" s="210">
        <f t="shared" ref="X5" ca="1" si="0">IF(AND(C5="Smelter not listed",OR(LEN(D5)=0,LEN(E5)=0)),1,0)</f>
        <v>0</v>
      </c>
      <c r="AB5" s="211" t="str">
        <f t="shared" ref="AB5" si="1">B5&amp;C5</f>
        <v>GoldShandong Zhaojin Gold &amp; Silver Refinery Co., Ltd.</v>
      </c>
    </row>
    <row r="6" spans="1:34" s="210" customFormat="1" ht="20.149999999999999" customHeight="1">
      <c r="A6" s="245"/>
      <c r="B6" s="166" t="s">
        <v>1088</v>
      </c>
      <c r="C6" s="170" t="s">
        <v>2057</v>
      </c>
      <c r="D6" s="213"/>
      <c r="E6" s="166" t="str">
        <f ca="1">IF(ISERROR($V6),"",OFFSET('Smelter Look-up'!$D$4,$V6-4,0)&amp;"")</f>
        <v>UNITED STATES OF AMERICA</v>
      </c>
      <c r="F6" s="166" t="str">
        <f ca="1">IF(ISERROR($V6),"",OFFSET('Smelter Look-up'!$E$4,$V6-4,0))</f>
        <v>CID001142</v>
      </c>
      <c r="G6" s="166" t="str">
        <f ca="1">IF(C6=$X$4,IF(ISERROR($V6),"Enter smelter details","RMI"),IF(ISERROR($V6),"",OFFSET('Smelter Look-up'!$F$4,$V6-4,0)))</f>
        <v>RMI</v>
      </c>
      <c r="H6" s="167">
        <f ca="1">IF(ISERROR($V6),"",OFFSET('Smelter Look-up'!$G$4,$V6-4,0))</f>
        <v>0</v>
      </c>
      <c r="I6" s="168" t="str">
        <f ca="1">IF(ISERROR($V6),"",OFFSET('Smelter Look-up'!$H$4,$V6-4,0))</f>
        <v>Twinsburg</v>
      </c>
      <c r="J6" s="168" t="str">
        <f ca="1">IF(ISERROR($V6),"",OFFSET('Smelter Look-up'!$I$4,$V6-4,0))</f>
        <v>Ohio</v>
      </c>
      <c r="K6" s="207"/>
      <c r="L6" s="207"/>
      <c r="M6" s="207"/>
      <c r="N6" s="207"/>
      <c r="O6" s="207"/>
      <c r="P6" s="169"/>
      <c r="Q6" s="208"/>
      <c r="R6" s="166" t="str">
        <f ca="1">IF(ISERROR($V6),"",OFFSET('Smelter Look-up'!$C$4,$V6-4,0)&amp;"")</f>
        <v>Metallic Resources, Inc.</v>
      </c>
      <c r="S6" s="165" t="str">
        <f t="shared" ref="S6:S37" ca="1" si="2">IF(B6="","",IF(ISERROR(MATCH($E6,CL,0)),"Unknown",INDIRECT("'C'!$A$"&amp;MATCH($E6,CL,0)+1)))</f>
        <v>US</v>
      </c>
      <c r="T6" s="165" t="str">
        <f ca="1">IF(B6="","",IF(ISERROR(MATCH($J6,SorP!$B$1:$B$6261,0)),"",INDIRECT("'SorP'!$A$"&amp;MATCH($S6&amp;$J6,SorP!C:C,0))))</f>
        <v>US-OH</v>
      </c>
      <c r="U6" s="185"/>
      <c r="V6" s="209">
        <f>IF(C6="",NA(),IF(OR(C6="Smelter not listed",C6="Smelter not yet identified"),MATCH($B6&amp;$D6,'Smelter Look-up'!$J:$J,0),MATCH($B6&amp;$C6,'Smelter Look-up'!$J:$J,0)))</f>
        <v>495</v>
      </c>
      <c r="X6" s="210">
        <f t="shared" ref="X6:X37" ca="1" si="3">IF(AND(C6="Smelter not listed",OR(LEN(D6)=0,LEN(E6)=0)),1,0)</f>
        <v>0</v>
      </c>
      <c r="AB6" s="211" t="str">
        <f t="shared" ref="AB6:AB37" si="4">B6&amp;C6</f>
        <v>TinMetallic Resources, Inc.</v>
      </c>
    </row>
    <row r="7" spans="1:34" s="210" customFormat="1" ht="20.149999999999999"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49999999999999"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49999999999999"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49999999999999"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49999999999999"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D095CBF-B88C-45F5-9340-46FEAF29053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MiniRF,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Hedy Housholder</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Hedy.housholder@minirf.com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408-228-3533</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Aida Krajisnik</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aida@minirf.com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46144</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3D3EE2B1-F03E-44EB-9CA4-3B9654439DA3}"/>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Jennifer Huang</cp:lastModifiedBy>
  <cp:lastPrinted>2015-04-21T20:47:43Z</cp:lastPrinted>
  <dcterms:created xsi:type="dcterms:W3CDTF">2010-06-21T21:00:23Z</dcterms:created>
  <dcterms:modified xsi:type="dcterms:W3CDTF">2026-05-04T01:13:50Z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